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FBFD45AD-6208-4AE6-90C4-010A76535FC8}" xr6:coauthVersionLast="47" xr6:coauthVersionMax="47" xr10:uidLastSave="{00000000-0000-0000-0000-000000000000}"/>
  <bookViews>
    <workbookView xWindow="-108" yWindow="-108" windowWidth="23256" windowHeight="12456" tabRatio="777" xr2:uid="{00000000-000D-0000-FFFF-FFFF00000000}"/>
  </bookViews>
  <sheets>
    <sheet name="投标总价" sheetId="8" r:id="rId1"/>
    <sheet name="报价标-仓营" sheetId="7" r:id="rId2"/>
    <sheet name="配送费用汇总" sheetId="5" r:id="rId3"/>
    <sheet name="报价表-配送" sheetId="2" r:id="rId4"/>
    <sheet name="配送-测算" sheetId="3" r:id="rId5"/>
    <sheet name="报价表-装卸" sheetId="6" r:id="rId6"/>
    <sheet name="合并仓明细" sheetId="4" r:id="rId7"/>
  </sheets>
  <definedNames>
    <definedName name="_xlnm._FilterDatabase" localSheetId="3" hidden="1">'报价表-配送'!$A$16:$I$98</definedName>
    <definedName name="_xlnm._FilterDatabase" localSheetId="5" hidden="1">'报价表-装卸'!$A$1:$I$16</definedName>
    <definedName name="_xlnm._FilterDatabase" localSheetId="6" hidden="1">合并仓明细!$A$2:$H$73</definedName>
    <definedName name="_xlnm._FilterDatabase" localSheetId="4" hidden="1">'配送-测算'!$A$1:$N$4503</definedName>
    <definedName name="_xlnm._FilterDatabase" localSheetId="2" hidden="1">配送费用汇总!$A$1:$I$15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8" l="1"/>
  <c r="F15" i="6"/>
  <c r="M3405" i="3" l="1"/>
  <c r="L3405" i="3"/>
  <c r="M3404" i="3"/>
  <c r="L3404" i="3"/>
  <c r="M3400" i="3"/>
  <c r="L3400" i="3"/>
  <c r="M3381" i="3"/>
  <c r="L3381" i="3"/>
  <c r="M3377" i="3"/>
  <c r="L3377" i="3"/>
  <c r="M3369" i="3"/>
  <c r="L3369" i="3"/>
  <c r="M3365" i="3"/>
  <c r="L3365" i="3"/>
  <c r="M3362" i="3"/>
  <c r="L3362" i="3"/>
  <c r="M3361" i="3"/>
  <c r="L3361" i="3"/>
  <c r="M3357" i="3"/>
  <c r="L3357" i="3"/>
  <c r="M3354" i="3"/>
  <c r="L3354" i="3"/>
  <c r="M3351" i="3"/>
  <c r="L3351" i="3"/>
  <c r="M3348" i="3"/>
  <c r="L3348" i="3"/>
  <c r="M3347" i="3"/>
  <c r="L3347" i="3"/>
  <c r="M3343" i="3"/>
  <c r="L3343" i="3"/>
  <c r="M3337" i="3"/>
  <c r="L3337" i="3"/>
  <c r="M3336" i="3"/>
  <c r="L3336" i="3"/>
  <c r="M3335" i="3"/>
  <c r="L3335" i="3"/>
  <c r="M3331" i="3"/>
  <c r="L3331" i="3"/>
  <c r="M3322" i="3"/>
  <c r="L3322" i="3"/>
  <c r="M3305" i="3"/>
  <c r="L3305" i="3"/>
  <c r="M3302" i="3"/>
  <c r="L3302" i="3"/>
  <c r="M3296" i="3"/>
  <c r="L3296" i="3"/>
  <c r="M3290" i="3"/>
  <c r="L3290" i="3"/>
  <c r="M3284" i="3"/>
  <c r="L3284" i="3"/>
  <c r="M3270" i="3"/>
  <c r="L3270" i="3"/>
  <c r="M3258" i="3"/>
  <c r="L3258" i="3"/>
  <c r="M3257" i="3"/>
  <c r="L3257" i="3"/>
  <c r="M3254" i="3"/>
  <c r="L3254" i="3"/>
  <c r="M3248" i="3"/>
  <c r="L3248" i="3"/>
  <c r="M3236" i="3"/>
  <c r="L3236" i="3"/>
  <c r="M3232" i="3"/>
  <c r="L3232" i="3"/>
  <c r="M3222" i="3"/>
  <c r="L3222" i="3"/>
  <c r="M2677" i="3"/>
  <c r="L2677" i="3"/>
  <c r="M2672" i="3"/>
  <c r="L2672" i="3"/>
  <c r="M2669" i="3"/>
  <c r="L2669" i="3"/>
  <c r="M2666" i="3"/>
  <c r="L2666" i="3"/>
  <c r="M2665" i="3"/>
  <c r="L2665" i="3"/>
  <c r="M2664" i="3"/>
  <c r="L2664" i="3"/>
  <c r="M2663" i="3"/>
  <c r="L2663" i="3"/>
  <c r="M2660" i="3"/>
  <c r="L2660" i="3"/>
  <c r="M2659" i="3"/>
  <c r="L2659" i="3"/>
  <c r="M2650" i="3"/>
  <c r="L2650" i="3"/>
  <c r="M2637" i="3"/>
  <c r="L2637" i="3"/>
  <c r="M2636" i="3"/>
  <c r="L2636" i="3"/>
  <c r="M2632" i="3"/>
  <c r="L2632" i="3"/>
  <c r="M2631" i="3"/>
  <c r="L2631" i="3"/>
  <c r="M2626" i="3"/>
  <c r="L2626" i="3"/>
  <c r="M2622" i="3"/>
  <c r="L2622" i="3"/>
  <c r="M2621" i="3"/>
  <c r="L2621" i="3"/>
  <c r="M2619" i="3"/>
  <c r="L2619" i="3"/>
  <c r="M2618" i="3"/>
  <c r="L2618" i="3"/>
  <c r="M2617" i="3"/>
  <c r="L2617" i="3"/>
  <c r="M2610" i="3"/>
  <c r="L2610" i="3"/>
  <c r="M2609" i="3"/>
  <c r="L2609" i="3"/>
  <c r="M2608" i="3"/>
  <c r="L2608" i="3"/>
  <c r="M2601" i="3"/>
  <c r="L2601" i="3"/>
  <c r="M2585" i="3"/>
  <c r="L2585" i="3"/>
  <c r="M2582" i="3"/>
  <c r="L2582" i="3"/>
  <c r="M2577" i="3"/>
  <c r="L2577" i="3"/>
  <c r="M2570" i="3"/>
  <c r="L2570" i="3"/>
  <c r="M2558" i="3"/>
  <c r="L2558" i="3"/>
  <c r="M2557" i="3"/>
  <c r="L2557" i="3"/>
  <c r="M2546" i="3"/>
  <c r="L2546" i="3"/>
  <c r="M2545" i="3"/>
  <c r="L2545" i="3"/>
  <c r="M2542" i="3"/>
  <c r="L2542" i="3"/>
  <c r="M2538" i="3"/>
  <c r="L2538" i="3"/>
  <c r="M2527" i="3"/>
  <c r="L2527" i="3"/>
  <c r="M2526" i="3"/>
  <c r="L2526" i="3"/>
  <c r="M2520" i="3"/>
  <c r="L2520" i="3"/>
  <c r="M2502" i="3"/>
  <c r="L2502" i="3"/>
  <c r="M2501" i="3"/>
  <c r="L2501" i="3"/>
  <c r="M2497" i="3"/>
  <c r="L2497" i="3"/>
  <c r="M2491" i="3"/>
  <c r="L2491" i="3"/>
  <c r="M2487" i="3"/>
  <c r="L2487" i="3"/>
  <c r="M2473" i="3"/>
  <c r="L2473" i="3"/>
  <c r="M2469" i="3"/>
  <c r="L2469" i="3"/>
  <c r="M2445" i="3"/>
  <c r="L2445" i="3"/>
  <c r="M2436" i="3"/>
  <c r="L2436" i="3"/>
  <c r="M2432" i="3"/>
  <c r="L2432" i="3"/>
  <c r="M2415" i="3"/>
  <c r="L2415" i="3"/>
  <c r="M2409" i="3"/>
  <c r="L2409" i="3"/>
  <c r="M2405" i="3"/>
  <c r="L2405" i="3"/>
  <c r="M2390" i="3"/>
  <c r="L2390" i="3"/>
  <c r="M2389" i="3"/>
  <c r="L2389" i="3"/>
  <c r="M2388" i="3"/>
  <c r="L2388" i="3"/>
  <c r="M2376" i="3"/>
  <c r="L2376" i="3"/>
  <c r="M2369" i="3"/>
  <c r="L2369" i="3"/>
  <c r="M4162" i="3"/>
  <c r="L4162" i="3"/>
  <c r="M4150" i="3"/>
  <c r="L4150" i="3"/>
  <c r="M4131" i="3"/>
  <c r="L4131" i="3"/>
  <c r="M4098" i="3"/>
  <c r="L4098" i="3"/>
  <c r="M4093" i="3"/>
  <c r="L4093" i="3"/>
  <c r="M4076" i="3"/>
  <c r="L4076" i="3"/>
  <c r="M4007" i="3"/>
  <c r="L4007" i="3"/>
  <c r="M4002" i="3"/>
  <c r="L4002" i="3"/>
  <c r="M3992" i="3"/>
  <c r="L3992" i="3"/>
  <c r="M3945" i="3"/>
  <c r="L3945" i="3"/>
  <c r="M3941" i="3"/>
  <c r="L3941" i="3"/>
  <c r="M3937" i="3"/>
  <c r="L3937" i="3"/>
  <c r="M3936" i="3"/>
  <c r="L3936" i="3"/>
  <c r="M3926" i="3"/>
  <c r="L3926" i="3"/>
  <c r="M2327" i="3"/>
  <c r="L2327" i="3"/>
  <c r="M2313" i="3"/>
  <c r="L2313" i="3"/>
  <c r="M2307" i="3"/>
  <c r="L2307" i="3"/>
  <c r="M2306" i="3"/>
  <c r="L2306" i="3"/>
  <c r="M2305" i="3"/>
  <c r="L2305" i="3"/>
  <c r="M2304" i="3"/>
  <c r="L2304" i="3"/>
  <c r="M2302" i="3"/>
  <c r="L2302" i="3"/>
  <c r="M2301" i="3"/>
  <c r="L2301" i="3"/>
  <c r="M2298" i="3"/>
  <c r="L2298" i="3"/>
  <c r="M2297" i="3"/>
  <c r="L2297" i="3"/>
  <c r="M2296" i="3"/>
  <c r="L2296" i="3"/>
  <c r="M2288" i="3"/>
  <c r="L2288" i="3"/>
  <c r="M2287" i="3"/>
  <c r="L2287" i="3"/>
  <c r="M2276" i="3"/>
  <c r="L2276" i="3"/>
  <c r="M2259" i="3"/>
  <c r="L2259" i="3"/>
  <c r="M2250" i="3"/>
  <c r="L2250" i="3"/>
  <c r="M2241" i="3"/>
  <c r="L2241" i="3"/>
  <c r="M2237" i="3"/>
  <c r="L2237" i="3"/>
  <c r="M2227" i="3"/>
  <c r="L2227" i="3"/>
  <c r="M2226" i="3"/>
  <c r="L2226" i="3"/>
  <c r="M2211" i="3"/>
  <c r="L2211" i="3"/>
  <c r="M2210" i="3"/>
  <c r="L2210" i="3"/>
  <c r="M2206" i="3"/>
  <c r="L2206" i="3"/>
  <c r="M2205" i="3"/>
  <c r="L2205" i="3"/>
  <c r="M2204" i="3"/>
  <c r="L2204" i="3"/>
  <c r="M2197" i="3"/>
  <c r="L2197" i="3"/>
  <c r="M2196" i="3"/>
  <c r="L2196" i="3"/>
  <c r="M2195" i="3"/>
  <c r="L2195" i="3"/>
  <c r="M2191" i="3"/>
  <c r="L2191" i="3"/>
  <c r="M2190" i="3"/>
  <c r="L2190" i="3"/>
  <c r="M2189" i="3"/>
  <c r="L2189" i="3"/>
  <c r="M2183" i="3"/>
  <c r="L2183" i="3"/>
  <c r="M2175" i="3"/>
  <c r="L2175" i="3"/>
  <c r="M2169" i="3"/>
  <c r="L2169" i="3"/>
  <c r="M2155" i="3"/>
  <c r="L2155" i="3"/>
  <c r="M2148" i="3"/>
  <c r="L2148" i="3"/>
  <c r="M2147" i="3"/>
  <c r="L2147" i="3"/>
  <c r="M2146" i="3"/>
  <c r="L2146" i="3"/>
  <c r="M2145" i="3"/>
  <c r="L2145" i="3"/>
  <c r="M2100" i="3"/>
  <c r="L2100" i="3"/>
  <c r="M2062" i="3"/>
  <c r="L2062" i="3"/>
  <c r="M2056" i="3"/>
  <c r="L2056" i="3"/>
  <c r="M2055" i="3"/>
  <c r="L2055" i="3"/>
  <c r="M2004" i="3"/>
  <c r="L2004" i="3"/>
  <c r="M1988" i="3"/>
  <c r="L1988" i="3"/>
  <c r="M1987" i="3"/>
  <c r="L1987" i="3"/>
  <c r="M1986" i="3"/>
  <c r="L1986" i="3"/>
  <c r="M1985" i="3"/>
  <c r="L1985" i="3"/>
  <c r="M1982" i="3"/>
  <c r="L1982" i="3"/>
  <c r="M1980" i="3"/>
  <c r="L1980" i="3"/>
  <c r="M1979" i="3"/>
  <c r="L1979" i="3"/>
  <c r="M1978" i="3"/>
  <c r="L1978" i="3"/>
  <c r="M1977" i="3"/>
  <c r="L1977" i="3"/>
  <c r="M1973" i="3"/>
  <c r="L1973" i="3"/>
  <c r="M1972" i="3"/>
  <c r="L1972" i="3"/>
  <c r="M1968" i="3"/>
  <c r="L1968" i="3"/>
  <c r="M1967" i="3"/>
  <c r="L1967" i="3"/>
  <c r="M1966" i="3"/>
  <c r="L1966" i="3"/>
  <c r="M1965" i="3"/>
  <c r="L1965" i="3"/>
  <c r="M1964" i="3"/>
  <c r="L1964" i="3"/>
  <c r="M1963" i="3"/>
  <c r="L1963" i="3"/>
  <c r="M1960" i="3"/>
  <c r="L1960" i="3"/>
  <c r="M1959" i="3"/>
  <c r="L1959" i="3"/>
  <c r="M1958" i="3"/>
  <c r="L1958" i="3"/>
  <c r="M1954" i="3"/>
  <c r="L1954" i="3"/>
  <c r="M1950" i="3"/>
  <c r="L1950" i="3"/>
  <c r="M1949" i="3"/>
  <c r="L1949" i="3"/>
  <c r="M1946" i="3"/>
  <c r="L1946" i="3"/>
  <c r="M1938" i="3"/>
  <c r="L1938" i="3"/>
  <c r="M1937" i="3"/>
  <c r="L1937" i="3"/>
  <c r="M1931" i="3"/>
  <c r="L1931" i="3"/>
  <c r="M1919" i="3"/>
  <c r="L1919" i="3"/>
  <c r="M1909" i="3"/>
  <c r="L1909" i="3"/>
  <c r="M1902" i="3"/>
  <c r="L1902" i="3"/>
  <c r="M1901" i="3"/>
  <c r="L1901" i="3"/>
  <c r="M1896" i="3"/>
  <c r="L1896" i="3"/>
  <c r="M1895" i="3"/>
  <c r="L1895" i="3"/>
  <c r="M1894" i="3"/>
  <c r="L1894" i="3"/>
  <c r="M1880" i="3"/>
  <c r="L1880" i="3"/>
  <c r="M1875" i="3"/>
  <c r="L1875" i="3"/>
  <c r="M1863" i="3"/>
  <c r="L1863" i="3"/>
  <c r="M1859" i="3"/>
  <c r="L1859" i="3"/>
  <c r="M1858" i="3"/>
  <c r="L1858" i="3"/>
  <c r="M1846" i="3"/>
  <c r="L1846" i="3"/>
  <c r="M1845" i="3"/>
  <c r="L1845" i="3"/>
  <c r="M1839" i="3"/>
  <c r="L1839" i="3"/>
  <c r="M1838" i="3"/>
  <c r="L1838" i="3"/>
  <c r="M1837" i="3"/>
  <c r="L1837" i="3"/>
  <c r="M1836" i="3"/>
  <c r="L1836" i="3"/>
  <c r="M1830" i="3"/>
  <c r="L1830" i="3"/>
  <c r="M3434" i="3"/>
  <c r="L3434" i="3"/>
  <c r="M3433" i="3"/>
  <c r="L3433" i="3"/>
  <c r="M3432" i="3"/>
  <c r="L3432" i="3"/>
  <c r="M3431" i="3"/>
  <c r="L3431" i="3"/>
  <c r="M3430" i="3"/>
  <c r="L3430" i="3"/>
  <c r="M3429" i="3"/>
  <c r="L3429" i="3"/>
  <c r="M3425" i="3"/>
  <c r="L3425" i="3"/>
  <c r="M1818" i="3"/>
  <c r="L1818" i="3"/>
  <c r="M1817" i="3"/>
  <c r="L1817" i="3"/>
  <c r="M1816" i="3"/>
  <c r="L1816" i="3"/>
  <c r="M1815" i="3"/>
  <c r="L1815" i="3"/>
  <c r="M1814" i="3"/>
  <c r="L1814" i="3"/>
  <c r="M1811" i="3"/>
  <c r="L1811" i="3"/>
  <c r="M1810" i="3"/>
  <c r="L1810" i="3"/>
  <c r="M1809" i="3"/>
  <c r="L1809" i="3"/>
  <c r="M1808" i="3"/>
  <c r="L1808" i="3"/>
  <c r="M1807" i="3"/>
  <c r="L1807" i="3"/>
  <c r="M1806" i="3"/>
  <c r="L1806" i="3"/>
  <c r="M1802" i="3"/>
  <c r="L1802" i="3"/>
  <c r="M1801" i="3"/>
  <c r="L1801" i="3"/>
  <c r="M1798" i="3"/>
  <c r="L1798" i="3"/>
  <c r="M1795" i="3"/>
  <c r="L1795" i="3"/>
  <c r="M1794" i="3"/>
  <c r="L1794" i="3"/>
  <c r="M1793" i="3"/>
  <c r="L1793" i="3"/>
  <c r="M1792" i="3"/>
  <c r="L1792" i="3"/>
  <c r="M1791" i="3"/>
  <c r="L1791" i="3"/>
  <c r="M1790" i="3"/>
  <c r="L1790" i="3"/>
  <c r="M1789" i="3"/>
  <c r="L1789" i="3"/>
  <c r="M1788" i="3"/>
  <c r="L1788" i="3"/>
  <c r="M1785" i="3"/>
  <c r="L1785" i="3"/>
  <c r="M1784" i="3"/>
  <c r="L1784" i="3"/>
  <c r="M1783" i="3"/>
  <c r="L1783" i="3"/>
  <c r="M3913" i="3"/>
  <c r="L3913" i="3"/>
  <c r="M3909" i="3"/>
  <c r="L3909" i="3"/>
  <c r="M3908" i="3"/>
  <c r="L3908" i="3"/>
  <c r="M3907" i="3"/>
  <c r="L3907" i="3"/>
  <c r="M3906" i="3"/>
  <c r="L3906" i="3"/>
  <c r="M3905" i="3"/>
  <c r="L3905" i="3"/>
  <c r="M3898" i="3"/>
  <c r="L3898" i="3"/>
  <c r="M3897" i="3"/>
  <c r="L3897" i="3"/>
  <c r="M3896" i="3"/>
  <c r="L3896" i="3"/>
  <c r="M3894" i="3"/>
  <c r="L3894" i="3"/>
  <c r="M3888" i="3"/>
  <c r="L3888" i="3"/>
  <c r="M3887" i="3"/>
  <c r="L3887" i="3"/>
  <c r="M3886" i="3"/>
  <c r="L3886" i="3"/>
  <c r="M3885" i="3"/>
  <c r="L3885" i="3"/>
  <c r="M3881" i="3"/>
  <c r="L3881" i="3"/>
  <c r="M3871" i="3"/>
  <c r="L3871" i="3"/>
  <c r="M3868" i="3"/>
  <c r="L3868" i="3"/>
  <c r="M3856" i="3"/>
  <c r="L3856" i="3"/>
  <c r="M3843" i="3"/>
  <c r="L3843" i="3"/>
  <c r="M3842" i="3"/>
  <c r="L3842" i="3"/>
  <c r="M3839" i="3"/>
  <c r="L3839" i="3"/>
  <c r="M3833" i="3"/>
  <c r="L3833" i="3"/>
  <c r="M3832" i="3"/>
  <c r="L3832" i="3"/>
  <c r="M3822" i="3"/>
  <c r="L3822" i="3"/>
  <c r="M3818" i="3"/>
  <c r="L3818" i="3"/>
  <c r="M3817" i="3"/>
  <c r="L3817" i="3"/>
  <c r="M3814" i="3"/>
  <c r="L3814" i="3"/>
  <c r="M3770" i="3"/>
  <c r="L3770" i="3"/>
  <c r="M3769" i="3"/>
  <c r="L3769" i="3"/>
  <c r="M3768" i="3"/>
  <c r="L3768" i="3"/>
  <c r="M3767" i="3"/>
  <c r="L3767" i="3"/>
  <c r="M3766" i="3"/>
  <c r="L3766" i="3"/>
  <c r="M3762" i="3"/>
  <c r="L3762" i="3"/>
  <c r="M3758" i="3"/>
  <c r="L3758" i="3"/>
  <c r="M3748" i="3"/>
  <c r="L3748" i="3"/>
  <c r="M3741" i="3"/>
  <c r="L3741" i="3"/>
  <c r="M3723" i="3"/>
  <c r="L3723" i="3"/>
  <c r="M829" i="3"/>
  <c r="L829" i="3"/>
  <c r="M3713" i="3"/>
  <c r="L3713" i="3"/>
  <c r="M3712" i="3"/>
  <c r="L3712" i="3"/>
  <c r="M3700" i="3"/>
  <c r="L3700" i="3"/>
  <c r="M3697" i="3"/>
  <c r="L3697" i="3"/>
  <c r="M3690" i="3"/>
  <c r="L3690" i="3"/>
  <c r="M3689" i="3"/>
  <c r="L3689" i="3"/>
  <c r="M3688" i="3"/>
  <c r="L3688" i="3"/>
  <c r="M3687" i="3"/>
  <c r="L3687" i="3"/>
  <c r="M3684" i="3"/>
  <c r="L3684" i="3"/>
  <c r="M3680" i="3"/>
  <c r="L3680" i="3"/>
  <c r="M3679" i="3"/>
  <c r="L3679" i="3"/>
  <c r="M3678" i="3"/>
  <c r="L3678" i="3"/>
  <c r="M3677" i="3"/>
  <c r="L3677" i="3"/>
  <c r="M3666" i="3"/>
  <c r="L3666" i="3"/>
  <c r="M3662" i="3"/>
  <c r="L3662" i="3"/>
  <c r="M3649" i="3"/>
  <c r="L3649" i="3"/>
  <c r="M3648" i="3"/>
  <c r="L3648" i="3"/>
  <c r="M3647" i="3"/>
  <c r="L3647" i="3"/>
  <c r="M3643" i="3"/>
  <c r="L3643" i="3"/>
  <c r="M3639" i="3"/>
  <c r="L3639" i="3"/>
  <c r="M3632" i="3"/>
  <c r="L3632" i="3"/>
  <c r="M3627" i="3"/>
  <c r="L3627" i="3"/>
  <c r="M1151" i="3"/>
  <c r="L1151" i="3"/>
  <c r="M1150" i="3"/>
  <c r="L1150" i="3"/>
  <c r="M1149" i="3"/>
  <c r="L1149" i="3"/>
  <c r="M1148" i="3"/>
  <c r="L1148" i="3"/>
  <c r="M1144" i="3"/>
  <c r="L1144" i="3"/>
  <c r="M1143" i="3"/>
  <c r="L1143" i="3"/>
  <c r="M1140" i="3"/>
  <c r="L1140" i="3"/>
  <c r="M1139" i="3"/>
  <c r="L1139" i="3"/>
  <c r="M1133" i="3"/>
  <c r="L1133" i="3"/>
  <c r="M1132" i="3"/>
  <c r="L1132" i="3"/>
  <c r="M1128" i="3"/>
  <c r="L1128" i="3"/>
  <c r="M1121" i="3"/>
  <c r="L1121" i="3"/>
  <c r="M1120" i="3"/>
  <c r="L1120" i="3"/>
  <c r="M1119" i="3"/>
  <c r="L1119" i="3"/>
  <c r="M1114" i="3"/>
  <c r="L1114" i="3"/>
  <c r="M1111" i="3"/>
  <c r="L1111" i="3"/>
  <c r="M1106" i="3"/>
  <c r="L1106" i="3"/>
  <c r="M1102" i="3"/>
  <c r="L1102" i="3"/>
  <c r="M1097" i="3"/>
  <c r="L1097" i="3"/>
  <c r="M1096" i="3"/>
  <c r="L1096" i="3"/>
  <c r="M1095" i="3"/>
  <c r="L1095" i="3"/>
  <c r="M1090" i="3"/>
  <c r="L1090" i="3"/>
  <c r="M1087" i="3"/>
  <c r="L1087" i="3"/>
  <c r="M1086" i="3"/>
  <c r="L1086" i="3"/>
  <c r="M1085" i="3"/>
  <c r="L1085" i="3"/>
  <c r="M4440" i="3"/>
  <c r="L4440" i="3"/>
  <c r="M4439" i="3"/>
  <c r="L4439" i="3"/>
  <c r="M4438" i="3"/>
  <c r="L4438" i="3"/>
  <c r="M4437" i="3"/>
  <c r="L4437" i="3"/>
  <c r="M4436" i="3"/>
  <c r="L4436" i="3"/>
  <c r="M4435" i="3"/>
  <c r="L4435" i="3"/>
  <c r="M4434" i="3"/>
  <c r="L4434" i="3"/>
  <c r="M4433" i="3"/>
  <c r="L4433" i="3"/>
  <c r="M4432" i="3"/>
  <c r="L4432" i="3"/>
  <c r="M4431" i="3"/>
  <c r="L4431" i="3"/>
  <c r="M4430" i="3"/>
  <c r="L4430" i="3"/>
  <c r="M4429" i="3"/>
  <c r="L4429" i="3"/>
  <c r="M4428" i="3"/>
  <c r="L4428" i="3"/>
  <c r="M4427" i="3"/>
  <c r="L4427" i="3"/>
  <c r="M4426" i="3"/>
  <c r="L4426" i="3"/>
  <c r="M4425" i="3"/>
  <c r="L4425" i="3"/>
  <c r="M4424" i="3"/>
  <c r="L4424" i="3"/>
  <c r="M4411" i="3"/>
  <c r="L4411" i="3"/>
  <c r="M4410" i="3"/>
  <c r="L4410" i="3"/>
  <c r="M4409" i="3"/>
  <c r="L4409" i="3"/>
  <c r="M4408" i="3"/>
  <c r="L4408" i="3"/>
  <c r="M4407" i="3"/>
  <c r="L4407" i="3"/>
  <c r="M4406" i="3"/>
  <c r="L4406" i="3"/>
  <c r="M4405" i="3"/>
  <c r="L4405" i="3"/>
  <c r="M4404" i="3"/>
  <c r="L4404" i="3"/>
  <c r="M4401" i="3"/>
  <c r="L4401" i="3"/>
  <c r="M4400" i="3"/>
  <c r="L4400" i="3"/>
  <c r="M4399" i="3"/>
  <c r="L4399" i="3"/>
  <c r="M4391" i="3"/>
  <c r="L4391" i="3"/>
  <c r="M4390" i="3"/>
  <c r="L4390" i="3"/>
  <c r="M4389" i="3"/>
  <c r="L4389" i="3"/>
  <c r="M4385" i="3"/>
  <c r="L4385" i="3"/>
  <c r="M4384" i="3"/>
  <c r="L4384" i="3"/>
  <c r="M4383" i="3"/>
  <c r="L4383" i="3"/>
  <c r="M4382" i="3"/>
  <c r="L4382" i="3"/>
  <c r="M4381" i="3"/>
  <c r="L4381" i="3"/>
  <c r="M4380" i="3"/>
  <c r="L4380" i="3"/>
  <c r="M4379" i="3"/>
  <c r="L4379" i="3"/>
  <c r="M4375" i="3"/>
  <c r="L4375" i="3"/>
  <c r="M4374" i="3"/>
  <c r="L4374" i="3"/>
  <c r="M4373" i="3"/>
  <c r="L4373" i="3"/>
  <c r="M4363" i="3"/>
  <c r="L4363" i="3"/>
  <c r="M4362" i="3"/>
  <c r="L4362" i="3"/>
  <c r="M4361" i="3"/>
  <c r="L4361" i="3"/>
  <c r="M4360" i="3"/>
  <c r="L4360" i="3"/>
  <c r="M4357" i="3"/>
  <c r="L4357" i="3"/>
  <c r="M4356" i="3"/>
  <c r="L4356" i="3"/>
  <c r="M4352" i="3"/>
  <c r="L4352" i="3"/>
  <c r="M4344" i="3"/>
  <c r="L4344" i="3"/>
  <c r="M4315" i="3"/>
  <c r="L4315" i="3"/>
  <c r="M4314" i="3"/>
  <c r="L4314" i="3"/>
  <c r="M4313" i="3"/>
  <c r="L4313" i="3"/>
  <c r="M4289" i="3"/>
  <c r="L4289" i="3"/>
  <c r="M4286" i="3"/>
  <c r="L4286" i="3"/>
  <c r="M4266" i="3"/>
  <c r="L4266" i="3"/>
  <c r="M4265" i="3"/>
  <c r="L4265" i="3"/>
  <c r="M4241" i="3"/>
  <c r="L4241" i="3"/>
  <c r="M4240" i="3"/>
  <c r="L4240" i="3"/>
  <c r="M3575" i="3"/>
  <c r="L3575" i="3"/>
  <c r="M3548" i="3"/>
  <c r="L3548" i="3"/>
  <c r="M3547" i="3"/>
  <c r="L3547" i="3"/>
  <c r="M3538" i="3"/>
  <c r="L3538" i="3"/>
  <c r="M3534" i="3"/>
  <c r="L3534" i="3"/>
  <c r="M3530" i="3"/>
  <c r="L3530" i="3"/>
  <c r="M4479" i="3"/>
  <c r="L4479" i="3"/>
  <c r="M4478" i="3"/>
  <c r="L4478" i="3"/>
  <c r="M4477" i="3"/>
  <c r="L4477" i="3"/>
  <c r="M4471" i="3"/>
  <c r="L4471" i="3"/>
  <c r="M4470" i="3"/>
  <c r="L4470" i="3"/>
  <c r="M4469" i="3"/>
  <c r="L4469" i="3"/>
  <c r="M4468" i="3"/>
  <c r="L4468" i="3"/>
  <c r="M4467" i="3"/>
  <c r="L4467" i="3"/>
  <c r="M4464" i="3"/>
  <c r="L4464" i="3"/>
  <c r="M4463" i="3"/>
  <c r="L4463" i="3"/>
  <c r="M4456" i="3"/>
  <c r="L4456" i="3"/>
  <c r="M4455" i="3"/>
  <c r="L4455" i="3"/>
  <c r="M4452" i="3"/>
  <c r="L4452" i="3"/>
  <c r="M4451" i="3"/>
  <c r="L4451" i="3"/>
  <c r="M4444" i="3"/>
  <c r="L4444" i="3"/>
  <c r="M4443" i="3"/>
  <c r="L4443" i="3"/>
  <c r="M4442" i="3"/>
  <c r="L4442" i="3"/>
  <c r="M4441" i="3"/>
  <c r="L4441" i="3"/>
  <c r="M2864" i="3"/>
  <c r="L2864" i="3"/>
  <c r="M2860" i="3"/>
  <c r="L2860" i="3"/>
  <c r="M2833" i="3"/>
  <c r="L2833" i="3"/>
  <c r="M2823" i="3"/>
  <c r="L2823" i="3"/>
  <c r="M3487" i="3"/>
  <c r="L3487" i="3"/>
  <c r="M3484" i="3"/>
  <c r="L3484" i="3"/>
  <c r="M3483" i="3"/>
  <c r="L3483" i="3"/>
  <c r="M3482" i="3"/>
  <c r="L3482" i="3"/>
  <c r="M3477" i="3"/>
  <c r="L3477" i="3"/>
  <c r="M3473" i="3"/>
  <c r="L3473" i="3"/>
  <c r="M3472" i="3"/>
  <c r="L3472" i="3"/>
  <c r="M3471" i="3"/>
  <c r="L3471" i="3"/>
  <c r="M3470" i="3"/>
  <c r="L3470" i="3"/>
  <c r="M3469" i="3"/>
  <c r="L3469" i="3"/>
  <c r="M3468" i="3"/>
  <c r="L3468" i="3"/>
  <c r="M3467" i="3"/>
  <c r="L3467" i="3"/>
  <c r="M3466" i="3"/>
  <c r="L3466" i="3"/>
  <c r="M3465" i="3"/>
  <c r="L3465" i="3"/>
  <c r="M3464" i="3"/>
  <c r="L3464" i="3"/>
  <c r="M3463" i="3"/>
  <c r="L3463" i="3"/>
  <c r="M3462" i="3"/>
  <c r="L3462" i="3"/>
  <c r="M3459" i="3"/>
  <c r="L3459" i="3"/>
  <c r="M3455" i="3"/>
  <c r="L3455" i="3"/>
  <c r="M3454" i="3"/>
  <c r="L3454" i="3"/>
  <c r="M3453" i="3"/>
  <c r="L3453" i="3"/>
  <c r="M3449" i="3"/>
  <c r="L3449" i="3"/>
  <c r="M3443" i="3"/>
  <c r="L3443" i="3"/>
  <c r="M3437" i="3"/>
  <c r="L3437" i="3"/>
  <c r="M3435" i="3"/>
  <c r="L3435" i="3"/>
  <c r="M1772" i="3"/>
  <c r="L1772" i="3"/>
  <c r="M1767" i="3"/>
  <c r="L1767" i="3"/>
  <c r="M1766" i="3"/>
  <c r="L1766" i="3"/>
  <c r="M1765" i="3"/>
  <c r="L1765" i="3"/>
  <c r="M1764" i="3"/>
  <c r="L1764" i="3"/>
  <c r="M1763" i="3"/>
  <c r="L1763" i="3"/>
  <c r="M1762" i="3"/>
  <c r="L1762" i="3"/>
  <c r="M1761" i="3"/>
  <c r="L1761" i="3"/>
  <c r="M1758" i="3"/>
  <c r="L1758" i="3"/>
  <c r="M1757" i="3"/>
  <c r="L1757" i="3"/>
  <c r="M1756" i="3"/>
  <c r="L1756" i="3"/>
  <c r="M1746" i="3"/>
  <c r="L1746" i="3"/>
  <c r="M1739" i="3"/>
  <c r="L1739" i="3"/>
  <c r="M1738" i="3"/>
  <c r="L1738" i="3"/>
  <c r="M1734" i="3"/>
  <c r="L1734" i="3"/>
  <c r="M1733" i="3"/>
  <c r="L1733" i="3"/>
  <c r="M1732" i="3"/>
  <c r="L1732" i="3"/>
  <c r="M1729" i="3"/>
  <c r="L1729" i="3"/>
  <c r="M1726" i="3"/>
  <c r="L1726" i="3"/>
  <c r="M1725" i="3"/>
  <c r="L1725" i="3"/>
  <c r="M1720" i="3"/>
  <c r="L1720" i="3"/>
  <c r="M1719" i="3"/>
  <c r="L1719" i="3"/>
  <c r="M1718" i="3"/>
  <c r="L1718" i="3"/>
  <c r="M1717" i="3"/>
  <c r="L1717" i="3"/>
  <c r="M1710" i="3"/>
  <c r="L1710" i="3"/>
  <c r="M1709" i="3"/>
  <c r="L1709" i="3"/>
  <c r="M1708" i="3"/>
  <c r="L1708" i="3"/>
  <c r="M1707" i="3"/>
  <c r="L1707" i="3"/>
  <c r="M1706" i="3"/>
  <c r="L1706" i="3"/>
  <c r="M1705" i="3"/>
  <c r="L1705" i="3"/>
  <c r="M1704" i="3"/>
  <c r="L1704" i="3"/>
  <c r="M1703" i="3"/>
  <c r="L1703" i="3"/>
  <c r="M1700" i="3"/>
  <c r="L1700" i="3"/>
  <c r="M1696" i="3"/>
  <c r="L1696" i="3"/>
  <c r="M1695" i="3"/>
  <c r="L1695" i="3"/>
  <c r="M1694" i="3"/>
  <c r="L1694" i="3"/>
  <c r="M1693" i="3"/>
  <c r="L1693" i="3"/>
  <c r="M1692" i="3"/>
  <c r="L1692" i="3"/>
  <c r="M1691" i="3"/>
  <c r="L1691" i="3"/>
  <c r="M1690" i="3"/>
  <c r="L1690" i="3"/>
  <c r="M1689" i="3"/>
  <c r="L1689" i="3"/>
  <c r="M1688" i="3"/>
  <c r="L1688" i="3"/>
  <c r="M1682" i="3"/>
  <c r="L1682" i="3"/>
  <c r="M1678" i="3"/>
  <c r="L1678" i="3"/>
  <c r="M4235" i="3"/>
  <c r="L4235" i="3"/>
  <c r="M4234" i="3"/>
  <c r="L4234" i="3"/>
  <c r="M4233" i="3"/>
  <c r="L4233" i="3"/>
  <c r="M4232" i="3"/>
  <c r="L4232" i="3"/>
  <c r="M4231" i="3"/>
  <c r="L4231" i="3"/>
  <c r="M4230" i="3"/>
  <c r="L4230" i="3"/>
  <c r="M4225" i="3"/>
  <c r="L4225" i="3"/>
  <c r="M4222" i="3"/>
  <c r="L4222" i="3"/>
  <c r="M4221" i="3"/>
  <c r="L4221" i="3"/>
  <c r="M4220" i="3"/>
  <c r="L4220" i="3"/>
  <c r="M4219" i="3"/>
  <c r="L4219" i="3"/>
  <c r="M4218" i="3"/>
  <c r="L4218" i="3"/>
  <c r="M4215" i="3"/>
  <c r="L4215" i="3"/>
  <c r="M4205" i="3"/>
  <c r="L4205" i="3"/>
  <c r="M4181" i="3"/>
  <c r="L4181" i="3"/>
  <c r="M4179" i="3"/>
  <c r="L4179" i="3"/>
  <c r="M3210" i="3"/>
  <c r="L3210" i="3"/>
  <c r="M3209" i="3"/>
  <c r="L3209" i="3"/>
  <c r="M3208" i="3"/>
  <c r="L3208" i="3"/>
  <c r="M3207" i="3"/>
  <c r="L3207" i="3"/>
  <c r="M3206" i="3"/>
  <c r="L3206" i="3"/>
  <c r="M3205" i="3"/>
  <c r="L3205" i="3"/>
  <c r="M3201" i="3"/>
  <c r="L3201" i="3"/>
  <c r="M3188" i="3"/>
  <c r="L3188" i="3"/>
  <c r="M3187" i="3"/>
  <c r="L3187" i="3"/>
  <c r="M3183" i="3"/>
  <c r="L3183" i="3"/>
  <c r="M3182" i="3"/>
  <c r="L3182" i="3"/>
  <c r="M3181" i="3"/>
  <c r="L3181" i="3"/>
  <c r="M3180" i="3"/>
  <c r="L3180" i="3"/>
  <c r="M3177" i="3"/>
  <c r="L3177" i="3"/>
  <c r="M3176" i="3"/>
  <c r="L3176" i="3"/>
  <c r="M3166" i="3"/>
  <c r="L3166" i="3"/>
  <c r="M3165" i="3"/>
  <c r="L3165" i="3"/>
  <c r="M3161" i="3"/>
  <c r="L3161" i="3"/>
  <c r="M3160" i="3"/>
  <c r="L3160" i="3"/>
  <c r="M3151" i="3"/>
  <c r="L3151" i="3"/>
  <c r="M3140" i="3"/>
  <c r="L3140" i="3"/>
  <c r="M3131" i="3"/>
  <c r="L3131" i="3"/>
  <c r="M1672" i="3"/>
  <c r="L1672" i="3"/>
  <c r="M1671" i="3"/>
  <c r="L1671" i="3"/>
  <c r="M1670" i="3"/>
  <c r="L1670" i="3"/>
  <c r="M1666" i="3"/>
  <c r="L1666" i="3"/>
  <c r="M1663" i="3"/>
  <c r="L1663" i="3"/>
  <c r="M1660" i="3"/>
  <c r="L1660" i="3"/>
  <c r="M1659" i="3"/>
  <c r="L1659" i="3"/>
  <c r="M1658" i="3"/>
  <c r="L1658" i="3"/>
  <c r="M1657" i="3"/>
  <c r="L1657" i="3"/>
  <c r="M1656" i="3"/>
  <c r="L1656" i="3"/>
  <c r="M1655" i="3"/>
  <c r="L1655" i="3"/>
  <c r="M1652" i="3"/>
  <c r="L1652" i="3"/>
  <c r="M1643" i="3"/>
  <c r="L1643" i="3"/>
  <c r="M1642" i="3"/>
  <c r="L1642" i="3"/>
  <c r="M1641" i="3"/>
  <c r="L1641" i="3"/>
  <c r="M1640" i="3"/>
  <c r="L1640" i="3"/>
  <c r="M1639" i="3"/>
  <c r="L1639" i="3"/>
  <c r="M1635" i="3"/>
  <c r="L1635" i="3"/>
  <c r="M1632" i="3"/>
  <c r="L1632" i="3"/>
  <c r="M1631" i="3"/>
  <c r="L1631" i="3"/>
  <c r="M1628" i="3"/>
  <c r="L1628" i="3"/>
  <c r="M1627" i="3"/>
  <c r="L1627" i="3"/>
  <c r="M1626" i="3"/>
  <c r="L1626" i="3"/>
  <c r="M1625" i="3"/>
  <c r="L1625" i="3"/>
  <c r="M1624" i="3"/>
  <c r="L1624" i="3"/>
  <c r="M1614" i="3"/>
  <c r="L1614" i="3"/>
  <c r="M1611" i="3"/>
  <c r="L1611" i="3"/>
  <c r="M1610" i="3"/>
  <c r="L1610" i="3"/>
  <c r="M1602" i="3"/>
  <c r="L1602" i="3"/>
  <c r="M1601" i="3"/>
  <c r="L1601" i="3"/>
  <c r="M1600" i="3"/>
  <c r="L1600" i="3"/>
  <c r="M1599" i="3"/>
  <c r="L1599" i="3"/>
  <c r="M1596" i="3"/>
  <c r="L1596" i="3"/>
  <c r="M1590" i="3"/>
  <c r="L1590" i="3"/>
  <c r="M1589" i="3"/>
  <c r="L1589" i="3"/>
  <c r="M1586" i="3"/>
  <c r="L1586" i="3"/>
  <c r="M1585" i="3"/>
  <c r="L1585" i="3"/>
  <c r="M1584" i="3"/>
  <c r="L1584" i="3"/>
  <c r="M1583" i="3"/>
  <c r="L1583" i="3"/>
  <c r="M1575" i="3"/>
  <c r="L1575" i="3"/>
  <c r="M1565" i="3"/>
  <c r="L1565" i="3"/>
  <c r="M1562" i="3"/>
  <c r="L1562" i="3"/>
  <c r="M1561" i="3"/>
  <c r="L1561" i="3"/>
  <c r="M1548" i="3"/>
  <c r="L1548" i="3"/>
  <c r="M1547" i="3"/>
  <c r="L1547" i="3"/>
  <c r="M1546" i="3"/>
  <c r="L1546" i="3"/>
  <c r="M1545" i="3"/>
  <c r="L1545" i="3"/>
  <c r="M1544" i="3"/>
  <c r="L1544" i="3"/>
  <c r="M1543" i="3"/>
  <c r="L1543" i="3"/>
  <c r="M1538" i="3"/>
  <c r="L1538" i="3"/>
  <c r="M1537" i="3"/>
  <c r="L1537" i="3"/>
  <c r="M1536" i="3"/>
  <c r="L1536" i="3"/>
  <c r="M1535" i="3"/>
  <c r="L1535" i="3"/>
  <c r="M1534" i="3"/>
  <c r="L1534" i="3"/>
  <c r="M1533" i="3"/>
  <c r="L1533" i="3"/>
  <c r="M1525" i="3"/>
  <c r="L1525" i="3"/>
  <c r="M1524" i="3"/>
  <c r="L1524" i="3"/>
  <c r="M1521" i="3"/>
  <c r="L1521" i="3"/>
  <c r="M1520" i="3"/>
  <c r="L1520" i="3"/>
  <c r="M1513" i="3"/>
  <c r="L1513" i="3"/>
  <c r="M1512" i="3"/>
  <c r="L1512" i="3"/>
  <c r="M1509" i="3"/>
  <c r="L1509" i="3"/>
  <c r="M1508" i="3"/>
  <c r="L1508" i="3"/>
  <c r="M1507" i="3"/>
  <c r="L1507" i="3"/>
  <c r="M1506" i="3"/>
  <c r="L1506" i="3"/>
  <c r="M1503" i="3"/>
  <c r="L1503" i="3"/>
  <c r="M1493" i="3"/>
  <c r="L1493" i="3"/>
  <c r="M1490" i="3"/>
  <c r="L1490" i="3"/>
  <c r="M1481" i="3"/>
  <c r="L1481" i="3"/>
  <c r="M1480" i="3"/>
  <c r="L1480" i="3"/>
  <c r="M1479" i="3"/>
  <c r="L1479" i="3"/>
  <c r="M1478" i="3"/>
  <c r="L1478" i="3"/>
  <c r="M1477" i="3"/>
  <c r="L1477" i="3"/>
  <c r="M1476" i="3"/>
  <c r="L1476" i="3"/>
  <c r="M1473" i="3"/>
  <c r="L1473" i="3"/>
  <c r="M1472" i="3"/>
  <c r="L1472" i="3"/>
  <c r="M1471" i="3"/>
  <c r="L1471" i="3"/>
  <c r="M1470" i="3"/>
  <c r="L1470" i="3"/>
  <c r="M1469" i="3"/>
  <c r="L1469" i="3"/>
  <c r="M1466" i="3"/>
  <c r="L1466" i="3"/>
  <c r="M1465" i="3"/>
  <c r="L1465" i="3"/>
  <c r="M1464" i="3"/>
  <c r="L1464" i="3"/>
  <c r="M1463" i="3"/>
  <c r="L1463" i="3"/>
  <c r="M1462" i="3"/>
  <c r="L1462" i="3"/>
  <c r="M1461" i="3"/>
  <c r="L1461" i="3"/>
  <c r="M1460" i="3"/>
  <c r="L1460" i="3"/>
  <c r="M1459" i="3"/>
  <c r="L1459" i="3"/>
  <c r="M1458" i="3"/>
  <c r="L1458" i="3"/>
  <c r="M1457" i="3"/>
  <c r="L1457" i="3"/>
  <c r="M1453" i="3"/>
  <c r="L1453" i="3"/>
  <c r="M1452" i="3"/>
  <c r="L1452" i="3"/>
  <c r="M1451" i="3"/>
  <c r="L1451" i="3"/>
  <c r="M1446" i="3"/>
  <c r="L1446" i="3"/>
  <c r="M1445" i="3"/>
  <c r="L1445" i="3"/>
  <c r="M1442" i="3"/>
  <c r="L1442" i="3"/>
  <c r="M1441" i="3"/>
  <c r="L1441" i="3"/>
  <c r="M1440" i="3"/>
  <c r="L1440" i="3"/>
  <c r="M1439" i="3"/>
  <c r="L1439" i="3"/>
  <c r="M1438" i="3"/>
  <c r="L1438" i="3"/>
  <c r="M1437" i="3"/>
  <c r="L1437" i="3"/>
  <c r="M1436" i="3"/>
  <c r="L1436" i="3"/>
  <c r="M1435" i="3"/>
  <c r="L1435" i="3"/>
  <c r="M1432" i="3"/>
  <c r="L1432" i="3"/>
  <c r="M1427" i="3"/>
  <c r="L1427" i="3"/>
  <c r="M1426" i="3"/>
  <c r="L1426" i="3"/>
  <c r="M1423" i="3"/>
  <c r="L1423" i="3"/>
  <c r="M1420" i="3"/>
  <c r="L1420" i="3"/>
  <c r="M1419" i="3"/>
  <c r="L1419" i="3"/>
  <c r="M1418" i="3"/>
  <c r="L1418" i="3"/>
  <c r="M1417" i="3"/>
  <c r="L1417" i="3"/>
  <c r="M1411" i="3"/>
  <c r="L1411" i="3"/>
  <c r="M1400" i="3"/>
  <c r="L1400" i="3"/>
  <c r="M1397" i="3"/>
  <c r="L1397" i="3"/>
  <c r="M3095" i="3"/>
  <c r="L3095" i="3"/>
  <c r="M3094" i="3"/>
  <c r="L3094" i="3"/>
  <c r="M3089" i="3"/>
  <c r="L3089" i="3"/>
  <c r="M3088" i="3"/>
  <c r="L3088" i="3"/>
  <c r="M3087" i="3"/>
  <c r="L3087" i="3"/>
  <c r="M3084" i="3"/>
  <c r="L3084" i="3"/>
  <c r="M3083" i="3"/>
  <c r="L3083" i="3"/>
  <c r="M3082" i="3"/>
  <c r="L3082" i="3"/>
  <c r="M3079" i="3"/>
  <c r="L3079" i="3"/>
  <c r="M3076" i="3"/>
  <c r="L3076" i="3"/>
  <c r="M3073" i="3"/>
  <c r="L3073" i="3"/>
  <c r="M3066" i="3"/>
  <c r="L3066" i="3"/>
  <c r="M3054" i="3"/>
  <c r="L3054" i="3"/>
  <c r="M3048" i="3"/>
  <c r="L3048" i="3"/>
  <c r="M3045" i="3"/>
  <c r="L3045" i="3"/>
  <c r="M3040" i="3"/>
  <c r="L3040" i="3"/>
  <c r="M3028" i="3"/>
  <c r="L3028" i="3"/>
  <c r="M3024" i="3"/>
  <c r="L3024" i="3"/>
  <c r="M3023" i="3"/>
  <c r="L3023" i="3"/>
  <c r="M3022" i="3"/>
  <c r="L3022" i="3"/>
  <c r="M3021" i="3"/>
  <c r="L3021" i="3"/>
  <c r="M3018" i="3"/>
  <c r="L3018" i="3"/>
  <c r="M3017" i="3"/>
  <c r="L3017" i="3"/>
  <c r="M3014" i="3"/>
  <c r="L3014" i="3"/>
  <c r="M3013" i="3"/>
  <c r="L3013" i="3"/>
  <c r="M3012" i="3"/>
  <c r="L3012" i="3"/>
  <c r="M3005" i="3"/>
  <c r="L3005" i="3"/>
  <c r="M3000" i="3"/>
  <c r="L3000" i="3"/>
  <c r="M2997" i="3"/>
  <c r="L2997" i="3"/>
  <c r="M2994" i="3"/>
  <c r="L2994" i="3"/>
  <c r="M2993" i="3"/>
  <c r="L2993" i="3"/>
  <c r="M2992" i="3"/>
  <c r="L2992" i="3"/>
  <c r="M2989" i="3"/>
  <c r="L2989" i="3"/>
  <c r="M2980" i="3"/>
  <c r="L2980" i="3"/>
  <c r="M2977" i="3"/>
  <c r="L2977" i="3"/>
  <c r="M2973" i="3"/>
  <c r="L2973" i="3"/>
  <c r="M2972" i="3"/>
  <c r="L2972" i="3"/>
  <c r="M2971" i="3"/>
  <c r="L2971" i="3"/>
  <c r="M2970" i="3"/>
  <c r="L2970" i="3"/>
  <c r="M2967" i="3"/>
  <c r="L2967" i="3"/>
  <c r="M2966" i="3"/>
  <c r="L2966" i="3"/>
  <c r="M2962" i="3"/>
  <c r="L2962" i="3"/>
  <c r="M2958" i="3"/>
  <c r="L2958" i="3"/>
  <c r="M2955" i="3"/>
  <c r="L2955" i="3"/>
  <c r="M2954" i="3"/>
  <c r="L2954" i="3"/>
  <c r="M2953" i="3"/>
  <c r="L2953" i="3"/>
  <c r="M2952" i="3"/>
  <c r="L2952" i="3"/>
  <c r="M2948" i="3"/>
  <c r="L2948" i="3"/>
  <c r="M2945" i="3"/>
  <c r="L2945" i="3"/>
  <c r="M2941" i="3"/>
  <c r="L2941" i="3"/>
  <c r="M2938" i="3"/>
  <c r="L2938" i="3"/>
  <c r="M2937" i="3"/>
  <c r="L2937" i="3"/>
  <c r="M2934" i="3"/>
  <c r="L2934" i="3"/>
  <c r="M2931" i="3"/>
  <c r="L2931" i="3"/>
  <c r="M2928" i="3"/>
  <c r="L2928" i="3"/>
  <c r="M2923" i="3"/>
  <c r="L2923" i="3"/>
  <c r="M2918" i="3"/>
  <c r="L2918" i="3"/>
  <c r="M2917" i="3"/>
  <c r="L2917" i="3"/>
  <c r="M2916" i="3"/>
  <c r="L2916" i="3"/>
  <c r="M2915" i="3"/>
  <c r="L2915" i="3"/>
  <c r="M2908" i="3"/>
  <c r="L2908" i="3"/>
  <c r="M2900" i="3"/>
  <c r="L2900" i="3"/>
  <c r="M2896" i="3"/>
  <c r="L2896" i="3"/>
  <c r="M2886" i="3"/>
  <c r="L2886" i="3"/>
  <c r="M2883" i="3"/>
  <c r="L2883" i="3"/>
  <c r="M2878" i="3"/>
  <c r="L2878" i="3"/>
  <c r="M3516" i="3"/>
  <c r="L3516" i="3"/>
  <c r="M3515" i="3"/>
  <c r="L3515" i="3"/>
  <c r="M3514" i="3"/>
  <c r="L3514" i="3"/>
  <c r="M3513" i="3"/>
  <c r="L3513" i="3"/>
  <c r="M3512" i="3"/>
  <c r="L3512" i="3"/>
  <c r="M3509" i="3"/>
  <c r="L3509" i="3"/>
  <c r="M3505" i="3"/>
  <c r="L3505" i="3"/>
  <c r="M3501" i="3"/>
  <c r="L3501" i="3"/>
  <c r="M3494" i="3"/>
  <c r="L3494" i="3"/>
  <c r="M3422" i="3"/>
  <c r="L3422" i="3"/>
  <c r="M3421" i="3"/>
  <c r="L3421" i="3"/>
  <c r="M3420" i="3"/>
  <c r="L3420" i="3"/>
  <c r="M3419" i="3"/>
  <c r="L3419" i="3"/>
  <c r="M3418" i="3"/>
  <c r="L3418" i="3"/>
  <c r="M3417" i="3"/>
  <c r="L3417" i="3"/>
  <c r="M3414" i="3"/>
  <c r="L3414" i="3"/>
  <c r="M3413" i="3"/>
  <c r="L3413" i="3"/>
  <c r="M3412" i="3"/>
  <c r="L3412" i="3"/>
  <c r="M3125" i="3"/>
  <c r="L3125" i="3"/>
  <c r="M3120" i="3"/>
  <c r="L3120" i="3"/>
  <c r="M3119" i="3"/>
  <c r="L3119" i="3"/>
  <c r="M3118" i="3"/>
  <c r="L3118" i="3"/>
  <c r="M3117" i="3"/>
  <c r="L3117" i="3"/>
  <c r="M3116" i="3"/>
  <c r="L3116" i="3"/>
  <c r="M3115" i="3"/>
  <c r="L3115" i="3"/>
  <c r="M3114" i="3"/>
  <c r="L3114" i="3"/>
  <c r="M3113" i="3"/>
  <c r="L3113" i="3"/>
  <c r="M3109" i="3"/>
  <c r="L3109" i="3"/>
  <c r="M3108" i="3"/>
  <c r="L3108" i="3"/>
  <c r="M3107" i="3"/>
  <c r="L3107" i="3"/>
  <c r="M3106" i="3"/>
  <c r="L3106" i="3"/>
  <c r="M3105" i="3"/>
  <c r="L3105" i="3"/>
  <c r="M3104" i="3"/>
  <c r="L3104" i="3"/>
  <c r="M3103" i="3"/>
  <c r="L3103" i="3"/>
  <c r="M3102" i="3"/>
  <c r="L3102" i="3"/>
  <c r="M3101" i="3"/>
  <c r="L3101" i="3"/>
  <c r="M3100" i="3"/>
  <c r="L3100" i="3"/>
  <c r="K3411" i="3"/>
  <c r="J3411" i="3"/>
  <c r="I3411" i="3"/>
  <c r="K3409" i="3"/>
  <c r="J3409" i="3"/>
  <c r="I3409" i="3"/>
  <c r="K3406" i="3"/>
  <c r="J3406" i="3"/>
  <c r="I3406" i="3"/>
  <c r="K3398" i="3"/>
  <c r="J3398" i="3"/>
  <c r="I3398" i="3"/>
  <c r="K3396" i="3"/>
  <c r="J3396" i="3"/>
  <c r="I3396" i="3"/>
  <c r="K3394" i="3"/>
  <c r="J3394" i="3"/>
  <c r="I3394" i="3"/>
  <c r="K3355" i="3"/>
  <c r="J3355" i="3"/>
  <c r="I3355" i="3"/>
  <c r="K3352" i="3"/>
  <c r="J3352" i="3"/>
  <c r="I3352" i="3"/>
  <c r="K3349" i="3"/>
  <c r="J3349" i="3"/>
  <c r="I3349" i="3"/>
  <c r="K3341" i="3"/>
  <c r="J3341" i="3"/>
  <c r="I3341" i="3"/>
  <c r="K3329" i="3"/>
  <c r="J3329" i="3"/>
  <c r="I3329" i="3"/>
  <c r="K3320" i="3"/>
  <c r="J3320" i="3"/>
  <c r="I3320" i="3"/>
  <c r="K3310" i="3"/>
  <c r="J3310" i="3"/>
  <c r="I3310" i="3"/>
  <c r="K3308" i="3"/>
  <c r="J3308" i="3"/>
  <c r="I3308" i="3"/>
  <c r="K3306" i="3"/>
  <c r="J3306" i="3"/>
  <c r="I3306" i="3"/>
  <c r="K3303" i="3"/>
  <c r="J3303" i="3"/>
  <c r="I3303" i="3"/>
  <c r="K3297" i="3"/>
  <c r="J3297" i="3"/>
  <c r="I3297" i="3"/>
  <c r="K3291" i="3"/>
  <c r="J3291" i="3"/>
  <c r="I3291" i="3"/>
  <c r="K3285" i="3"/>
  <c r="J3285" i="3"/>
  <c r="I3285" i="3"/>
  <c r="K3279" i="3"/>
  <c r="J3279" i="3"/>
  <c r="I3279" i="3"/>
  <c r="K3265" i="3"/>
  <c r="J3265" i="3"/>
  <c r="I3265" i="3"/>
  <c r="K3255" i="3"/>
  <c r="J3255" i="3"/>
  <c r="I3255" i="3"/>
  <c r="K3249" i="3"/>
  <c r="J3249" i="3"/>
  <c r="I3249" i="3"/>
  <c r="K3243" i="3"/>
  <c r="J3243" i="3"/>
  <c r="I3243" i="3"/>
  <c r="K3234" i="3"/>
  <c r="J3234" i="3"/>
  <c r="I3234" i="3"/>
  <c r="K3233" i="3"/>
  <c r="J3233" i="3"/>
  <c r="I3233" i="3"/>
  <c r="K3228" i="3"/>
  <c r="J3228" i="3"/>
  <c r="I3228" i="3"/>
  <c r="K3226" i="3"/>
  <c r="J3226" i="3"/>
  <c r="I3226" i="3"/>
  <c r="K3217" i="3"/>
  <c r="J3217" i="3"/>
  <c r="I3217" i="3"/>
  <c r="K2675" i="3"/>
  <c r="J2675" i="3"/>
  <c r="I2675" i="3"/>
  <c r="K2673" i="3"/>
  <c r="J2673" i="3"/>
  <c r="I2673" i="3"/>
  <c r="K2670" i="3"/>
  <c r="J2670" i="3"/>
  <c r="I2670" i="3"/>
  <c r="K2667" i="3"/>
  <c r="J2667" i="3"/>
  <c r="I2667" i="3"/>
  <c r="K2662" i="3"/>
  <c r="J2662" i="3"/>
  <c r="I2662" i="3"/>
  <c r="K2661" i="3"/>
  <c r="J2661" i="3"/>
  <c r="I2661" i="3"/>
  <c r="K2657" i="3"/>
  <c r="J2657" i="3"/>
  <c r="I2657" i="3"/>
  <c r="K2629" i="3"/>
  <c r="J2629" i="3"/>
  <c r="I2629" i="3"/>
  <c r="K2627" i="3"/>
  <c r="J2627" i="3"/>
  <c r="I2627" i="3"/>
  <c r="K2620" i="3"/>
  <c r="J2620" i="3"/>
  <c r="I2620" i="3"/>
  <c r="K2597" i="3"/>
  <c r="J2597" i="3"/>
  <c r="I2597" i="3"/>
  <c r="K2583" i="3"/>
  <c r="J2583" i="3"/>
  <c r="I2583" i="3"/>
  <c r="K2581" i="3"/>
  <c r="J2581" i="3"/>
  <c r="I2581" i="3"/>
  <c r="K2568" i="3"/>
  <c r="J2568" i="3"/>
  <c r="I2568" i="3"/>
  <c r="K2566" i="3"/>
  <c r="J2566" i="3"/>
  <c r="I2566" i="3"/>
  <c r="K2564" i="3"/>
  <c r="J2564" i="3"/>
  <c r="I2564" i="3"/>
  <c r="K2559" i="3"/>
  <c r="J2559" i="3"/>
  <c r="I2559" i="3"/>
  <c r="K2543" i="3"/>
  <c r="J2543" i="3"/>
  <c r="I2543" i="3"/>
  <c r="K2536" i="3"/>
  <c r="J2536" i="3"/>
  <c r="I2536" i="3"/>
  <c r="K2534" i="3"/>
  <c r="J2534" i="3"/>
  <c r="I2534" i="3"/>
  <c r="K2532" i="3"/>
  <c r="J2532" i="3"/>
  <c r="I2532" i="3"/>
  <c r="K2530" i="3"/>
  <c r="J2530" i="3"/>
  <c r="I2530" i="3"/>
  <c r="K2528" i="3"/>
  <c r="J2528" i="3"/>
  <c r="I2528" i="3"/>
  <c r="K2518" i="3"/>
  <c r="J2518" i="3"/>
  <c r="I2518" i="3"/>
  <c r="K2508" i="3"/>
  <c r="J2508" i="3"/>
  <c r="I2508" i="3"/>
  <c r="K2503" i="3"/>
  <c r="J2503" i="3"/>
  <c r="I2503" i="3"/>
  <c r="K2479" i="3"/>
  <c r="J2479" i="3"/>
  <c r="I2479" i="3"/>
  <c r="K2467" i="3"/>
  <c r="J2467" i="3"/>
  <c r="I2467" i="3"/>
  <c r="K2457" i="3"/>
  <c r="J2457" i="3"/>
  <c r="I2457" i="3"/>
  <c r="K2449" i="3"/>
  <c r="J2449" i="3"/>
  <c r="I2449" i="3"/>
  <c r="K2443" i="3"/>
  <c r="J2443" i="3"/>
  <c r="I2443" i="3"/>
  <c r="K2430" i="3"/>
  <c r="J2430" i="3"/>
  <c r="I2430" i="3"/>
  <c r="K2428" i="3"/>
  <c r="J2428" i="3"/>
  <c r="I2428" i="3"/>
  <c r="K2420" i="3"/>
  <c r="J2420" i="3"/>
  <c r="I2420" i="3"/>
  <c r="K2418" i="3"/>
  <c r="J2418" i="3"/>
  <c r="I2418" i="3"/>
  <c r="K2416" i="3"/>
  <c r="J2416" i="3"/>
  <c r="I2416" i="3"/>
  <c r="K4169" i="3"/>
  <c r="J4169" i="3"/>
  <c r="I4169" i="3"/>
  <c r="K4151" i="3"/>
  <c r="J4151" i="3"/>
  <c r="I4151" i="3"/>
  <c r="K4129" i="3"/>
  <c r="J4129" i="3"/>
  <c r="I4129" i="3"/>
  <c r="K4127" i="3"/>
  <c r="J4127" i="3"/>
  <c r="I4127" i="3"/>
  <c r="K4119" i="3"/>
  <c r="J4119" i="3"/>
  <c r="I4119" i="3"/>
  <c r="K4114" i="3"/>
  <c r="J4114" i="3"/>
  <c r="I4114" i="3"/>
  <c r="K4094" i="3"/>
  <c r="J4094" i="3"/>
  <c r="I4094" i="3"/>
  <c r="K4080" i="3"/>
  <c r="J4080" i="3"/>
  <c r="I4080" i="3"/>
  <c r="K4074" i="3"/>
  <c r="J4074" i="3"/>
  <c r="I4074" i="3"/>
  <c r="K4060" i="3"/>
  <c r="J4060" i="3"/>
  <c r="I4060" i="3"/>
  <c r="K4003" i="3"/>
  <c r="J4003" i="3"/>
  <c r="I4003" i="3"/>
  <c r="K3984" i="3"/>
  <c r="J3984" i="3"/>
  <c r="I3984" i="3"/>
  <c r="K3969" i="3"/>
  <c r="J3969" i="3"/>
  <c r="I3969" i="3"/>
  <c r="K3955" i="3"/>
  <c r="J3955" i="3"/>
  <c r="I3955" i="3"/>
  <c r="K3951" i="3"/>
  <c r="J3951" i="3"/>
  <c r="I3951" i="3"/>
  <c r="K2341" i="3"/>
  <c r="J2341" i="3"/>
  <c r="I2341" i="3"/>
  <c r="K2339" i="3"/>
  <c r="J2339" i="3"/>
  <c r="I2339" i="3"/>
  <c r="K2332" i="3"/>
  <c r="J2332" i="3"/>
  <c r="I2332" i="3"/>
  <c r="K2330" i="3"/>
  <c r="J2330" i="3"/>
  <c r="I2330" i="3"/>
  <c r="K2328" i="3"/>
  <c r="J2328" i="3"/>
  <c r="I2328" i="3"/>
  <c r="K2325" i="3"/>
  <c r="J2325" i="3"/>
  <c r="I2325" i="3"/>
  <c r="K2314" i="3"/>
  <c r="J2314" i="3"/>
  <c r="I2314" i="3"/>
  <c r="K2308" i="3"/>
  <c r="J2308" i="3"/>
  <c r="I2308" i="3"/>
  <c r="K2303" i="3"/>
  <c r="J2303" i="3"/>
  <c r="I2303" i="3"/>
  <c r="K2299" i="3"/>
  <c r="J2299" i="3"/>
  <c r="I2299" i="3"/>
  <c r="K2294" i="3"/>
  <c r="J2294" i="3"/>
  <c r="I2294" i="3"/>
  <c r="K2292" i="3"/>
  <c r="J2292" i="3"/>
  <c r="I2292" i="3"/>
  <c r="K2285" i="3"/>
  <c r="J2285" i="3"/>
  <c r="I2285" i="3"/>
  <c r="K2283" i="3"/>
  <c r="J2283" i="3"/>
  <c r="I2283" i="3"/>
  <c r="K2282" i="3"/>
  <c r="J2282" i="3"/>
  <c r="I2282" i="3"/>
  <c r="K2277" i="3"/>
  <c r="J2277" i="3"/>
  <c r="I2277" i="3"/>
  <c r="K2268" i="3"/>
  <c r="J2268" i="3"/>
  <c r="I2268" i="3"/>
  <c r="K2260" i="3"/>
  <c r="J2260" i="3"/>
  <c r="I2260" i="3"/>
  <c r="K2255" i="3"/>
  <c r="J2255" i="3"/>
  <c r="I2255" i="3"/>
  <c r="K2253" i="3"/>
  <c r="J2253" i="3"/>
  <c r="I2253" i="3"/>
  <c r="K2245" i="3"/>
  <c r="J2245" i="3"/>
  <c r="I2245" i="3"/>
  <c r="K2235" i="3"/>
  <c r="J2235" i="3"/>
  <c r="I2235" i="3"/>
  <c r="K2233" i="3"/>
  <c r="J2233" i="3"/>
  <c r="I2233" i="3"/>
  <c r="K2228" i="3"/>
  <c r="J2228" i="3"/>
  <c r="I2228" i="3"/>
  <c r="K2224" i="3"/>
  <c r="J2224" i="3"/>
  <c r="I2224" i="3"/>
  <c r="K2217" i="3"/>
  <c r="J2217" i="3"/>
  <c r="I2217" i="3"/>
  <c r="K2212" i="3"/>
  <c r="J2212" i="3"/>
  <c r="I2212" i="3"/>
  <c r="K2181" i="3"/>
  <c r="J2181" i="3"/>
  <c r="I2181" i="3"/>
  <c r="K2179" i="3"/>
  <c r="J2179" i="3"/>
  <c r="I2179" i="3"/>
  <c r="K2170" i="3"/>
  <c r="J2170" i="3"/>
  <c r="I2170" i="3"/>
  <c r="K2161" i="3"/>
  <c r="J2161" i="3"/>
  <c r="I2161" i="3"/>
  <c r="K2156" i="3"/>
  <c r="J2156" i="3"/>
  <c r="I2156" i="3"/>
  <c r="K2140" i="3"/>
  <c r="J2140" i="3"/>
  <c r="I2140" i="3"/>
  <c r="K2117" i="3"/>
  <c r="J2117" i="3"/>
  <c r="I2117" i="3"/>
  <c r="K2110" i="3"/>
  <c r="J2110" i="3"/>
  <c r="I2110" i="3"/>
  <c r="K2098" i="3"/>
  <c r="J2098" i="3"/>
  <c r="I2098" i="3"/>
  <c r="K2075" i="3"/>
  <c r="J2075" i="3"/>
  <c r="I2075" i="3"/>
  <c r="K2057" i="3"/>
  <c r="J2057" i="3"/>
  <c r="I2057" i="3"/>
  <c r="K2032" i="3"/>
  <c r="J2032" i="3"/>
  <c r="I2032" i="3"/>
  <c r="K2030" i="3"/>
  <c r="J2030" i="3"/>
  <c r="I2030" i="3"/>
  <c r="K2019" i="3"/>
  <c r="J2019" i="3"/>
  <c r="I2019" i="3"/>
  <c r="K2017" i="3"/>
  <c r="J2017" i="3"/>
  <c r="I2017" i="3"/>
  <c r="K1984" i="3"/>
  <c r="J1984" i="3"/>
  <c r="I1984" i="3"/>
  <c r="K1983" i="3"/>
  <c r="J1983" i="3"/>
  <c r="I1983" i="3"/>
  <c r="K1981" i="3"/>
  <c r="J1981" i="3"/>
  <c r="I1981" i="3"/>
  <c r="K1961" i="3"/>
  <c r="J1961" i="3"/>
  <c r="I1961" i="3"/>
  <c r="K1941" i="3"/>
  <c r="J1941" i="3"/>
  <c r="I1941" i="3"/>
  <c r="K1939" i="3"/>
  <c r="J1939" i="3"/>
  <c r="I1939" i="3"/>
  <c r="K1929" i="3"/>
  <c r="J1929" i="3"/>
  <c r="I1929" i="3"/>
  <c r="K1917" i="3"/>
  <c r="J1917" i="3"/>
  <c r="I1917" i="3"/>
  <c r="K1913" i="3"/>
  <c r="J1913" i="3"/>
  <c r="I1913" i="3"/>
  <c r="K1899" i="3"/>
  <c r="J1899" i="3"/>
  <c r="I1899" i="3"/>
  <c r="K3914" i="3"/>
  <c r="J3914" i="3"/>
  <c r="I3914" i="3"/>
  <c r="K3895" i="3"/>
  <c r="J3895" i="3"/>
  <c r="I3895" i="3"/>
  <c r="K3892" i="3"/>
  <c r="J3892" i="3"/>
  <c r="I3892" i="3"/>
  <c r="K3879" i="3"/>
  <c r="J3879" i="3"/>
  <c r="I3879" i="3"/>
  <c r="K3866" i="3"/>
  <c r="J3866" i="3"/>
  <c r="I3866" i="3"/>
  <c r="K3861" i="3"/>
  <c r="J3861" i="3"/>
  <c r="I3861" i="3"/>
  <c r="K3859" i="3"/>
  <c r="J3859" i="3"/>
  <c r="I3859" i="3"/>
  <c r="K3857" i="3"/>
  <c r="J3857" i="3"/>
  <c r="I3857" i="3"/>
  <c r="K3851" i="3"/>
  <c r="J3851" i="3"/>
  <c r="I3851" i="3"/>
  <c r="K3849" i="3"/>
  <c r="J3849" i="3"/>
  <c r="I3849" i="3"/>
  <c r="K3840" i="3"/>
  <c r="J3840" i="3"/>
  <c r="I3840" i="3"/>
  <c r="K3837" i="3"/>
  <c r="J3837" i="3"/>
  <c r="I3837" i="3"/>
  <c r="K3827" i="3"/>
  <c r="J3827" i="3"/>
  <c r="I3827" i="3"/>
  <c r="K3825" i="3"/>
  <c r="J3825" i="3"/>
  <c r="I3825" i="3"/>
  <c r="K3823" i="3"/>
  <c r="J3823" i="3"/>
  <c r="I3823" i="3"/>
  <c r="K3815" i="3"/>
  <c r="J3815" i="3"/>
  <c r="I3815" i="3"/>
  <c r="K3812" i="3"/>
  <c r="J3812" i="3"/>
  <c r="I3812" i="3"/>
  <c r="K3810" i="3"/>
  <c r="J3810" i="3"/>
  <c r="I3810" i="3"/>
  <c r="K3808" i="3"/>
  <c r="J3808" i="3"/>
  <c r="I3808" i="3"/>
  <c r="K3797" i="3"/>
  <c r="J3797" i="3"/>
  <c r="I3797" i="3"/>
  <c r="K3783" i="3"/>
  <c r="J3783" i="3"/>
  <c r="I3783" i="3"/>
  <c r="K3754" i="3"/>
  <c r="J3754" i="3"/>
  <c r="I3754" i="3"/>
  <c r="K3752" i="3"/>
  <c r="J3752" i="3"/>
  <c r="I3752" i="3"/>
  <c r="K3739" i="3"/>
  <c r="J3739" i="3"/>
  <c r="I3739" i="3"/>
  <c r="K3734" i="3"/>
  <c r="J3734" i="3"/>
  <c r="I3734" i="3"/>
  <c r="K3729" i="3"/>
  <c r="J3729" i="3"/>
  <c r="I3729" i="3"/>
  <c r="K3724" i="3"/>
  <c r="J3724" i="3"/>
  <c r="I3724" i="3"/>
  <c r="K3710" i="3"/>
  <c r="J3710" i="3"/>
  <c r="I3710" i="3"/>
  <c r="K3703" i="3"/>
  <c r="J3703" i="3"/>
  <c r="I3703" i="3"/>
  <c r="K3701" i="3"/>
  <c r="J3701" i="3"/>
  <c r="I3701" i="3"/>
  <c r="K3696" i="3"/>
  <c r="J3696" i="3"/>
  <c r="I3696" i="3"/>
  <c r="K3694" i="3"/>
  <c r="J3694" i="3"/>
  <c r="I3694" i="3"/>
  <c r="K3669" i="3"/>
  <c r="J3669" i="3"/>
  <c r="I3669" i="3"/>
  <c r="K3653" i="3"/>
  <c r="J3653" i="3"/>
  <c r="I3653" i="3"/>
  <c r="K3644" i="3"/>
  <c r="J3644" i="3"/>
  <c r="I3644" i="3"/>
  <c r="K3637" i="3"/>
  <c r="J3637" i="3"/>
  <c r="I3637" i="3"/>
  <c r="K3635" i="3"/>
  <c r="J3635" i="3"/>
  <c r="I3635" i="3"/>
  <c r="K3633" i="3"/>
  <c r="J3633" i="3"/>
  <c r="I3633" i="3"/>
  <c r="K3628" i="3"/>
  <c r="J3628" i="3"/>
  <c r="I3628" i="3"/>
  <c r="K1152" i="3"/>
  <c r="J1152" i="3"/>
  <c r="I1152" i="3"/>
  <c r="K4419" i="3"/>
  <c r="J4419" i="3"/>
  <c r="I4419" i="3"/>
  <c r="K4417" i="3"/>
  <c r="J4417" i="3"/>
  <c r="I4417" i="3"/>
  <c r="K4415" i="3"/>
  <c r="J4415" i="3"/>
  <c r="I4415" i="3"/>
  <c r="K4402" i="3"/>
  <c r="J4402" i="3"/>
  <c r="I4402" i="3"/>
  <c r="K4397" i="3"/>
  <c r="J4397" i="3"/>
  <c r="I4397" i="3"/>
  <c r="K4395" i="3"/>
  <c r="J4395" i="3"/>
  <c r="I4395" i="3"/>
  <c r="K4371" i="3"/>
  <c r="J4371" i="3"/>
  <c r="I4371" i="3"/>
  <c r="K4369" i="3"/>
  <c r="J4369" i="3"/>
  <c r="I4369" i="3"/>
  <c r="K4358" i="3"/>
  <c r="J4358" i="3"/>
  <c r="I4358" i="3"/>
  <c r="K4350" i="3"/>
  <c r="J4350" i="3"/>
  <c r="I4350" i="3"/>
  <c r="K4348" i="3"/>
  <c r="J4348" i="3"/>
  <c r="I4348" i="3"/>
  <c r="K4339" i="3"/>
  <c r="J4339" i="3"/>
  <c r="I4339" i="3"/>
  <c r="K4311" i="3"/>
  <c r="J4311" i="3"/>
  <c r="I4311" i="3"/>
  <c r="K4297" i="3"/>
  <c r="J4297" i="3"/>
  <c r="I4297" i="3"/>
  <c r="K4292" i="3"/>
  <c r="J4292" i="3"/>
  <c r="I4292" i="3"/>
  <c r="K4290" i="3"/>
  <c r="J4290" i="3"/>
  <c r="I4290" i="3"/>
  <c r="K4287" i="3"/>
  <c r="J4287" i="3"/>
  <c r="I4287" i="3"/>
  <c r="K4278" i="3"/>
  <c r="J4278" i="3"/>
  <c r="I4278" i="3"/>
  <c r="K4270" i="3"/>
  <c r="J4270" i="3"/>
  <c r="I4270" i="3"/>
  <c r="K4254" i="3"/>
  <c r="J4254" i="3"/>
  <c r="I4254" i="3"/>
  <c r="K4249" i="3"/>
  <c r="J4249" i="3"/>
  <c r="I4249" i="3"/>
  <c r="K4247" i="3"/>
  <c r="J4247" i="3"/>
  <c r="I4247" i="3"/>
  <c r="K4245" i="3"/>
  <c r="J4245" i="3"/>
  <c r="I4245" i="3"/>
  <c r="K4238" i="3"/>
  <c r="J4238" i="3"/>
  <c r="I4238" i="3"/>
  <c r="K3623" i="3"/>
  <c r="J3623" i="3"/>
  <c r="I3623" i="3"/>
  <c r="K3618" i="3"/>
  <c r="J3618" i="3"/>
  <c r="I3618" i="3"/>
  <c r="K3610" i="3"/>
  <c r="J3610" i="3"/>
  <c r="I3610" i="3"/>
  <c r="K3608" i="3"/>
  <c r="J3608" i="3"/>
  <c r="I3608" i="3"/>
  <c r="K3591" i="3"/>
  <c r="J3591" i="3"/>
  <c r="I3591" i="3"/>
  <c r="K3573" i="3"/>
  <c r="J3573" i="3"/>
  <c r="I3573" i="3"/>
  <c r="K3571" i="3"/>
  <c r="J3571" i="3"/>
  <c r="I3571" i="3"/>
  <c r="K3566" i="3"/>
  <c r="J3566" i="3"/>
  <c r="I3566" i="3"/>
  <c r="K3545" i="3"/>
  <c r="J3545" i="3"/>
  <c r="I3545" i="3"/>
  <c r="K3525" i="3"/>
  <c r="J3525" i="3"/>
  <c r="I3525" i="3"/>
  <c r="K427" i="3"/>
  <c r="J427" i="3"/>
  <c r="I427" i="3"/>
  <c r="K4465" i="3"/>
  <c r="J4465" i="3"/>
  <c r="I4465" i="3"/>
  <c r="K4447" i="3"/>
  <c r="J4447" i="3"/>
  <c r="I4447" i="3"/>
  <c r="K4445" i="3"/>
  <c r="J4445" i="3"/>
  <c r="I4445" i="3"/>
  <c r="K2849" i="3"/>
  <c r="J2849" i="3"/>
  <c r="I2849" i="3"/>
  <c r="K2821" i="3"/>
  <c r="J2821" i="3"/>
  <c r="I2821" i="3"/>
  <c r="K604" i="3"/>
  <c r="J604" i="3"/>
  <c r="I604" i="3"/>
  <c r="K3485" i="3"/>
  <c r="J3485" i="3"/>
  <c r="I3485" i="3"/>
  <c r="K3480" i="3"/>
  <c r="J3480" i="3"/>
  <c r="I3480" i="3"/>
  <c r="K3460" i="3"/>
  <c r="J3460" i="3"/>
  <c r="I3460" i="3"/>
  <c r="K3447" i="3"/>
  <c r="J3447" i="3"/>
  <c r="I3447" i="3"/>
  <c r="K3441" i="3"/>
  <c r="J3441" i="3"/>
  <c r="I3441" i="3"/>
  <c r="K3436" i="3"/>
  <c r="J3436" i="3"/>
  <c r="I3436" i="3"/>
  <c r="K4228" i="3"/>
  <c r="J4228" i="3"/>
  <c r="I4228" i="3"/>
  <c r="K4226" i="3"/>
  <c r="J4226" i="3"/>
  <c r="I4226" i="3"/>
  <c r="K4217" i="3"/>
  <c r="J4217" i="3"/>
  <c r="I4217" i="3"/>
  <c r="K4216" i="3"/>
  <c r="J4216" i="3"/>
  <c r="I4216" i="3"/>
  <c r="K4213" i="3"/>
  <c r="J4213" i="3"/>
  <c r="I4213" i="3"/>
  <c r="K4208" i="3"/>
  <c r="J4208" i="3"/>
  <c r="I4208" i="3"/>
  <c r="K4206" i="3"/>
  <c r="J4206" i="3"/>
  <c r="I4206" i="3"/>
  <c r="K4204" i="3"/>
  <c r="J4204" i="3"/>
  <c r="I4204" i="3"/>
  <c r="K4201" i="3"/>
  <c r="J4201" i="3"/>
  <c r="I4201" i="3"/>
  <c r="K4199" i="3"/>
  <c r="J4199" i="3"/>
  <c r="I4199" i="3"/>
  <c r="K4197" i="3"/>
  <c r="J4197" i="3"/>
  <c r="I4197" i="3"/>
  <c r="K4195" i="3"/>
  <c r="J4195" i="3"/>
  <c r="I4195" i="3"/>
  <c r="K4193" i="3"/>
  <c r="J4193" i="3"/>
  <c r="I4193" i="3"/>
  <c r="K4191" i="3"/>
  <c r="J4191" i="3"/>
  <c r="I4191" i="3"/>
  <c r="K4189" i="3"/>
  <c r="J4189" i="3"/>
  <c r="I4189" i="3"/>
  <c r="K4187" i="3"/>
  <c r="J4187" i="3"/>
  <c r="I4187" i="3"/>
  <c r="K4185" i="3"/>
  <c r="J4185" i="3"/>
  <c r="I4185" i="3"/>
  <c r="K4180" i="3"/>
  <c r="J4180" i="3"/>
  <c r="I4180" i="3"/>
  <c r="K4171" i="3"/>
  <c r="J4171" i="3"/>
  <c r="I4171" i="3"/>
  <c r="K3191" i="3"/>
  <c r="J3191" i="3"/>
  <c r="I3191" i="3"/>
  <c r="K3189" i="3"/>
  <c r="J3189" i="3"/>
  <c r="I3189" i="3"/>
  <c r="K3178" i="3"/>
  <c r="J3178" i="3"/>
  <c r="I3178" i="3"/>
  <c r="K3174" i="3"/>
  <c r="J3174" i="3"/>
  <c r="I3174" i="3"/>
  <c r="K3167" i="3"/>
  <c r="J3167" i="3"/>
  <c r="I3167" i="3"/>
  <c r="K3158" i="3"/>
  <c r="J3158" i="3"/>
  <c r="I3158" i="3"/>
  <c r="K3156" i="3"/>
  <c r="J3156" i="3"/>
  <c r="I3156" i="3"/>
  <c r="K3154" i="3"/>
  <c r="J3154" i="3"/>
  <c r="I3154" i="3"/>
  <c r="K3152" i="3"/>
  <c r="J3152" i="3"/>
  <c r="I3152" i="3"/>
  <c r="K3146" i="3"/>
  <c r="J3146" i="3"/>
  <c r="I3146" i="3"/>
  <c r="K3144" i="3"/>
  <c r="J3144" i="3"/>
  <c r="I3144" i="3"/>
  <c r="K3143" i="3"/>
  <c r="J3143" i="3"/>
  <c r="I3143" i="3"/>
  <c r="K3135" i="3"/>
  <c r="J3135" i="3"/>
  <c r="I3135" i="3"/>
  <c r="K3129" i="3"/>
  <c r="J3129" i="3"/>
  <c r="I3129" i="3"/>
  <c r="K1665" i="3"/>
  <c r="J1665" i="3"/>
  <c r="I1665" i="3"/>
  <c r="K1664" i="3"/>
  <c r="J1664" i="3"/>
  <c r="I1664" i="3"/>
  <c r="K1661" i="3"/>
  <c r="J1661" i="3"/>
  <c r="I1661" i="3"/>
  <c r="K1647" i="3"/>
  <c r="J1647" i="3"/>
  <c r="I1647" i="3"/>
  <c r="K1633" i="3"/>
  <c r="J1633" i="3"/>
  <c r="I1633" i="3"/>
  <c r="K1629" i="3"/>
  <c r="J1629" i="3"/>
  <c r="I1629" i="3"/>
  <c r="K1622" i="3"/>
  <c r="J1622" i="3"/>
  <c r="I1622" i="3"/>
  <c r="K1620" i="3"/>
  <c r="J1620" i="3"/>
  <c r="I1620" i="3"/>
  <c r="K1618" i="3"/>
  <c r="J1618" i="3"/>
  <c r="I1618" i="3"/>
  <c r="K1612" i="3"/>
  <c r="J1612" i="3"/>
  <c r="I1612" i="3"/>
  <c r="K1608" i="3"/>
  <c r="J1608" i="3"/>
  <c r="I1608" i="3"/>
  <c r="K1606" i="3"/>
  <c r="J1606" i="3"/>
  <c r="I1606" i="3"/>
  <c r="K1597" i="3"/>
  <c r="J1597" i="3"/>
  <c r="I1597" i="3"/>
  <c r="K1591" i="3"/>
  <c r="J1591" i="3"/>
  <c r="I1591" i="3"/>
  <c r="K1587" i="3"/>
  <c r="J1587" i="3"/>
  <c r="I1587" i="3"/>
  <c r="K1578" i="3"/>
  <c r="J1578" i="3"/>
  <c r="I1578" i="3"/>
  <c r="K1576" i="3"/>
  <c r="J1576" i="3"/>
  <c r="I1576" i="3"/>
  <c r="K1570" i="3"/>
  <c r="J1570" i="3"/>
  <c r="I1570" i="3"/>
  <c r="K1568" i="3"/>
  <c r="J1568" i="3"/>
  <c r="I1568" i="3"/>
  <c r="K1566" i="3"/>
  <c r="J1566" i="3"/>
  <c r="I1566" i="3"/>
  <c r="K1556" i="3"/>
  <c r="J1556" i="3"/>
  <c r="I1556" i="3"/>
  <c r="K1554" i="3"/>
  <c r="J1554" i="3"/>
  <c r="I1554" i="3"/>
  <c r="K1549" i="3"/>
  <c r="J1549" i="3"/>
  <c r="I1549" i="3"/>
  <c r="K1541" i="3"/>
  <c r="J1541" i="3"/>
  <c r="I1541" i="3"/>
  <c r="K1539" i="3"/>
  <c r="J1539" i="3"/>
  <c r="I1539" i="3"/>
  <c r="K1528" i="3"/>
  <c r="J1528" i="3"/>
  <c r="I1528" i="3"/>
  <c r="K1526" i="3"/>
  <c r="J1526" i="3"/>
  <c r="I1526" i="3"/>
  <c r="K1522" i="3"/>
  <c r="J1522" i="3"/>
  <c r="I1522" i="3"/>
  <c r="K1519" i="3"/>
  <c r="J1519" i="3"/>
  <c r="I1519" i="3"/>
  <c r="K1510" i="3"/>
  <c r="J1510" i="3"/>
  <c r="I1510" i="3"/>
  <c r="K1502" i="3"/>
  <c r="J1502" i="3"/>
  <c r="I1502" i="3"/>
  <c r="K1500" i="3"/>
  <c r="J1500" i="3"/>
  <c r="I1500" i="3"/>
  <c r="K1491" i="3"/>
  <c r="J1491" i="3"/>
  <c r="I1491" i="3"/>
  <c r="K1488" i="3"/>
  <c r="J1488" i="3"/>
  <c r="I1488" i="3"/>
  <c r="K1486" i="3"/>
  <c r="J1486" i="3"/>
  <c r="I1486" i="3"/>
  <c r="K1484" i="3"/>
  <c r="J1484" i="3"/>
  <c r="I1484" i="3"/>
  <c r="K1482" i="3"/>
  <c r="J1482" i="3"/>
  <c r="I1482" i="3"/>
  <c r="K1474" i="3"/>
  <c r="J1474" i="3"/>
  <c r="I1474" i="3"/>
  <c r="K1467" i="3"/>
  <c r="J1467" i="3"/>
  <c r="I1467" i="3"/>
  <c r="K1449" i="3"/>
  <c r="J1449" i="3"/>
  <c r="I1449" i="3"/>
  <c r="K1447" i="3"/>
  <c r="J1447" i="3"/>
  <c r="I1447" i="3"/>
  <c r="K1443" i="3"/>
  <c r="J1443" i="3"/>
  <c r="I1443" i="3"/>
  <c r="K1434" i="3"/>
  <c r="J1434" i="3"/>
  <c r="I1434" i="3"/>
  <c r="K1433" i="3"/>
  <c r="J1433" i="3"/>
  <c r="I1433" i="3"/>
  <c r="K1424" i="3"/>
  <c r="J1424" i="3"/>
  <c r="I1424" i="3"/>
  <c r="K1421" i="3"/>
  <c r="J1421" i="3"/>
  <c r="I1421" i="3"/>
  <c r="K1406" i="3"/>
  <c r="J1406" i="3"/>
  <c r="I1406" i="3"/>
  <c r="K1405" i="3"/>
  <c r="J1405" i="3"/>
  <c r="I1405" i="3"/>
  <c r="K1403" i="3"/>
  <c r="J1403" i="3"/>
  <c r="I1403" i="3"/>
  <c r="K3098" i="3"/>
  <c r="J3098" i="3"/>
  <c r="I3098" i="3"/>
  <c r="K3096" i="3"/>
  <c r="J3096" i="3"/>
  <c r="I3096" i="3"/>
  <c r="K3077" i="3"/>
  <c r="J3077" i="3"/>
  <c r="I3077" i="3"/>
  <c r="K3071" i="3"/>
  <c r="J3071" i="3"/>
  <c r="I3071" i="3"/>
  <c r="K3069" i="3"/>
  <c r="J3069" i="3"/>
  <c r="I3069" i="3"/>
  <c r="K3067" i="3"/>
  <c r="J3067" i="3"/>
  <c r="I3067" i="3"/>
  <c r="K3061" i="3"/>
  <c r="J3061" i="3"/>
  <c r="I3061" i="3"/>
  <c r="K3049" i="3"/>
  <c r="J3049" i="3"/>
  <c r="I3049" i="3"/>
  <c r="K3046" i="3"/>
  <c r="J3046" i="3"/>
  <c r="I3046" i="3"/>
  <c r="K3043" i="3"/>
  <c r="J3043" i="3"/>
  <c r="I3043" i="3"/>
  <c r="K3041" i="3"/>
  <c r="J3041" i="3"/>
  <c r="I3041" i="3"/>
  <c r="K3038" i="3"/>
  <c r="J3038" i="3"/>
  <c r="I3038" i="3"/>
  <c r="K3036" i="3"/>
  <c r="J3036" i="3"/>
  <c r="I3036" i="3"/>
  <c r="K3034" i="3"/>
  <c r="J3034" i="3"/>
  <c r="I3034" i="3"/>
  <c r="K3032" i="3"/>
  <c r="J3032" i="3"/>
  <c r="I3032" i="3"/>
  <c r="K3015" i="3"/>
  <c r="J3015" i="3"/>
  <c r="I3015" i="3"/>
  <c r="K3003" i="3"/>
  <c r="J3003" i="3"/>
  <c r="I3003" i="3"/>
  <c r="K3001" i="3"/>
  <c r="J3001" i="3"/>
  <c r="I3001" i="3"/>
  <c r="K2998" i="3"/>
  <c r="J2998" i="3"/>
  <c r="I2998" i="3"/>
  <c r="K2995" i="3"/>
  <c r="J2995" i="3"/>
  <c r="I2995" i="3"/>
  <c r="K2990" i="3"/>
  <c r="J2990" i="3"/>
  <c r="I2990" i="3"/>
  <c r="K2984" i="3"/>
  <c r="J2984" i="3"/>
  <c r="I2984" i="3"/>
  <c r="K2981" i="3"/>
  <c r="J2981" i="3"/>
  <c r="I2981" i="3"/>
  <c r="K2978" i="3"/>
  <c r="J2978" i="3"/>
  <c r="I2978" i="3"/>
  <c r="K2968" i="3"/>
  <c r="J2968" i="3"/>
  <c r="I2968" i="3"/>
  <c r="K2946" i="3"/>
  <c r="J2946" i="3"/>
  <c r="I2946" i="3"/>
  <c r="K2939" i="3"/>
  <c r="J2939" i="3"/>
  <c r="I2939" i="3"/>
  <c r="K2935" i="3"/>
  <c r="J2935" i="3"/>
  <c r="I2935" i="3"/>
  <c r="K2932" i="3"/>
  <c r="J2932" i="3"/>
  <c r="I2932" i="3"/>
  <c r="K2929" i="3"/>
  <c r="J2929" i="3"/>
  <c r="I2929" i="3"/>
  <c r="K2926" i="3"/>
  <c r="J2926" i="3"/>
  <c r="I2926" i="3"/>
  <c r="K2924" i="3"/>
  <c r="J2924" i="3"/>
  <c r="I2924" i="3"/>
  <c r="K2921" i="3"/>
  <c r="J2921" i="3"/>
  <c r="I2921" i="3"/>
  <c r="K2919" i="3"/>
  <c r="J2919" i="3"/>
  <c r="I2919" i="3"/>
  <c r="K2913" i="3"/>
  <c r="J2913" i="3"/>
  <c r="I2913" i="3"/>
  <c r="K2911" i="3"/>
  <c r="J2911" i="3"/>
  <c r="I2911" i="3"/>
  <c r="K2909" i="3"/>
  <c r="J2909" i="3"/>
  <c r="I2909" i="3"/>
  <c r="K2905" i="3"/>
  <c r="J2905" i="3"/>
  <c r="I2905" i="3"/>
  <c r="K2904" i="3"/>
  <c r="J2904" i="3"/>
  <c r="I2904" i="3"/>
  <c r="K2902" i="3"/>
  <c r="J2902" i="3"/>
  <c r="I2902" i="3"/>
  <c r="K2901" i="3"/>
  <c r="J2901" i="3"/>
  <c r="I2901" i="3"/>
  <c r="K2892" i="3"/>
  <c r="J2892" i="3"/>
  <c r="I2892" i="3"/>
  <c r="K2890" i="3"/>
  <c r="J2890" i="3"/>
  <c r="I2890" i="3"/>
  <c r="K2888" i="3"/>
  <c r="J2888" i="3"/>
  <c r="I2888" i="3"/>
  <c r="K2887" i="3"/>
  <c r="J2887" i="3"/>
  <c r="I2887" i="3"/>
  <c r="K2884" i="3"/>
  <c r="J2884" i="3"/>
  <c r="I2884" i="3"/>
  <c r="K2881" i="3"/>
  <c r="J2881" i="3"/>
  <c r="I2881" i="3"/>
  <c r="K2879" i="3"/>
  <c r="J2879" i="3"/>
  <c r="I2879" i="3"/>
  <c r="K2876" i="3"/>
  <c r="J2876" i="3"/>
  <c r="I2876" i="3"/>
  <c r="K2875" i="3"/>
  <c r="J2875" i="3"/>
  <c r="I2875" i="3"/>
  <c r="K2874" i="3"/>
  <c r="J2874" i="3"/>
  <c r="I2874" i="3"/>
  <c r="K2872" i="3"/>
  <c r="J2872" i="3"/>
  <c r="I2872" i="3"/>
  <c r="K2871" i="3"/>
  <c r="J2871" i="3"/>
  <c r="I2871" i="3"/>
  <c r="K3510" i="3"/>
  <c r="J3510" i="3"/>
  <c r="I3510" i="3"/>
  <c r="K3124" i="3"/>
  <c r="J3124" i="3"/>
  <c r="I3124" i="3"/>
  <c r="K3110" i="3"/>
  <c r="J3110" i="3"/>
  <c r="I3110"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529" i="3"/>
  <c r="C530" i="3"/>
  <c r="C531" i="3"/>
  <c r="C532" i="3"/>
  <c r="C533" i="3"/>
  <c r="C534" i="3"/>
  <c r="C535" i="3"/>
  <c r="C536" i="3"/>
  <c r="C537" i="3"/>
  <c r="C538" i="3"/>
  <c r="C539" i="3"/>
  <c r="C540" i="3"/>
  <c r="C541" i="3"/>
  <c r="C542" i="3"/>
  <c r="C543" i="3"/>
  <c r="C544" i="3"/>
  <c r="C545" i="3"/>
  <c r="C546" i="3"/>
  <c r="C547" i="3"/>
  <c r="C548" i="3"/>
  <c r="C549" i="3"/>
  <c r="C550" i="3"/>
  <c r="C551" i="3"/>
  <c r="C552" i="3"/>
  <c r="C553" i="3"/>
  <c r="C554" i="3"/>
  <c r="C555" i="3"/>
  <c r="C556" i="3"/>
  <c r="C557" i="3"/>
  <c r="C558" i="3"/>
  <c r="C559" i="3"/>
  <c r="C560" i="3"/>
  <c r="C561" i="3"/>
  <c r="C562" i="3"/>
  <c r="C563" i="3"/>
  <c r="C564" i="3"/>
  <c r="C565" i="3"/>
  <c r="C566" i="3"/>
  <c r="C567" i="3"/>
  <c r="C568" i="3"/>
  <c r="C569" i="3"/>
  <c r="C570" i="3"/>
  <c r="C571" i="3"/>
  <c r="C572" i="3"/>
  <c r="C573" i="3"/>
  <c r="C574" i="3"/>
  <c r="C575" i="3"/>
  <c r="C576" i="3"/>
  <c r="C577" i="3"/>
  <c r="C578" i="3"/>
  <c r="C579" i="3"/>
  <c r="C580" i="3"/>
  <c r="C581" i="3"/>
  <c r="C582" i="3"/>
  <c r="C583" i="3"/>
  <c r="C584" i="3"/>
  <c r="C585" i="3"/>
  <c r="C586" i="3"/>
  <c r="C587" i="3"/>
  <c r="C588" i="3"/>
  <c r="C589" i="3"/>
  <c r="C590" i="3"/>
  <c r="C591" i="3"/>
  <c r="C592" i="3"/>
  <c r="C593" i="3"/>
  <c r="C594" i="3"/>
  <c r="C595" i="3"/>
  <c r="C596" i="3"/>
  <c r="C597" i="3"/>
  <c r="C598" i="3"/>
  <c r="C599" i="3"/>
  <c r="C600" i="3"/>
  <c r="C601" i="3"/>
  <c r="C602" i="3"/>
  <c r="C603" i="3"/>
  <c r="C604" i="3"/>
  <c r="C605" i="3"/>
  <c r="C606" i="3"/>
  <c r="C607" i="3"/>
  <c r="C608" i="3"/>
  <c r="C609" i="3"/>
  <c r="C610" i="3"/>
  <c r="C611" i="3"/>
  <c r="C612" i="3"/>
  <c r="C613" i="3"/>
  <c r="C614" i="3"/>
  <c r="C615" i="3"/>
  <c r="C616" i="3"/>
  <c r="C617" i="3"/>
  <c r="C618" i="3"/>
  <c r="C619" i="3"/>
  <c r="C620" i="3"/>
  <c r="C621" i="3"/>
  <c r="C622" i="3"/>
  <c r="C623" i="3"/>
  <c r="C624" i="3"/>
  <c r="C625" i="3"/>
  <c r="C626" i="3"/>
  <c r="C627" i="3"/>
  <c r="C628" i="3"/>
  <c r="C629" i="3"/>
  <c r="C630" i="3"/>
  <c r="C631" i="3"/>
  <c r="C632" i="3"/>
  <c r="C633" i="3"/>
  <c r="C634" i="3"/>
  <c r="C635" i="3"/>
  <c r="C636" i="3"/>
  <c r="C637" i="3"/>
  <c r="C638" i="3"/>
  <c r="C639" i="3"/>
  <c r="C640" i="3"/>
  <c r="C641" i="3"/>
  <c r="C642" i="3"/>
  <c r="C643" i="3"/>
  <c r="C644" i="3"/>
  <c r="C645" i="3"/>
  <c r="C646" i="3"/>
  <c r="C647" i="3"/>
  <c r="C648" i="3"/>
  <c r="C649" i="3"/>
  <c r="C650" i="3"/>
  <c r="C651" i="3"/>
  <c r="C652" i="3"/>
  <c r="C653" i="3"/>
  <c r="C654" i="3"/>
  <c r="C655" i="3"/>
  <c r="C656" i="3"/>
  <c r="C657" i="3"/>
  <c r="C658" i="3"/>
  <c r="C659" i="3"/>
  <c r="C660" i="3"/>
  <c r="C661" i="3"/>
  <c r="C662" i="3"/>
  <c r="C663" i="3"/>
  <c r="C664" i="3"/>
  <c r="C665" i="3"/>
  <c r="C666" i="3"/>
  <c r="C667" i="3"/>
  <c r="C668" i="3"/>
  <c r="C669" i="3"/>
  <c r="C670" i="3"/>
  <c r="C671" i="3"/>
  <c r="C672" i="3"/>
  <c r="C673" i="3"/>
  <c r="C674" i="3"/>
  <c r="C675" i="3"/>
  <c r="C676" i="3"/>
  <c r="C677" i="3"/>
  <c r="C678" i="3"/>
  <c r="C679" i="3"/>
  <c r="C680" i="3"/>
  <c r="C681" i="3"/>
  <c r="C682" i="3"/>
  <c r="C683" i="3"/>
  <c r="C684" i="3"/>
  <c r="C685" i="3"/>
  <c r="C686" i="3"/>
  <c r="C687" i="3"/>
  <c r="C688" i="3"/>
  <c r="C689" i="3"/>
  <c r="C690" i="3"/>
  <c r="C691" i="3"/>
  <c r="C692" i="3"/>
  <c r="C693" i="3"/>
  <c r="C694" i="3"/>
  <c r="C695" i="3"/>
  <c r="C696" i="3"/>
  <c r="C697" i="3"/>
  <c r="C698" i="3"/>
  <c r="C699" i="3"/>
  <c r="C700" i="3"/>
  <c r="C701" i="3"/>
  <c r="C702" i="3"/>
  <c r="C703" i="3"/>
  <c r="C704" i="3"/>
  <c r="C705" i="3"/>
  <c r="C706" i="3"/>
  <c r="C707" i="3"/>
  <c r="C708" i="3"/>
  <c r="C709" i="3"/>
  <c r="C710" i="3"/>
  <c r="C711" i="3"/>
  <c r="C712" i="3"/>
  <c r="C713" i="3"/>
  <c r="C714" i="3"/>
  <c r="C715" i="3"/>
  <c r="C716" i="3"/>
  <c r="C717" i="3"/>
  <c r="C718" i="3"/>
  <c r="C719" i="3"/>
  <c r="C720" i="3"/>
  <c r="C721" i="3"/>
  <c r="C722" i="3"/>
  <c r="C723" i="3"/>
  <c r="C724" i="3"/>
  <c r="C725" i="3"/>
  <c r="C726" i="3"/>
  <c r="C727" i="3"/>
  <c r="C728" i="3"/>
  <c r="C729" i="3"/>
  <c r="C730" i="3"/>
  <c r="C731" i="3"/>
  <c r="C732" i="3"/>
  <c r="C733" i="3"/>
  <c r="C734" i="3"/>
  <c r="C735" i="3"/>
  <c r="C736" i="3"/>
  <c r="C737" i="3"/>
  <c r="C738" i="3"/>
  <c r="C739" i="3"/>
  <c r="C740" i="3"/>
  <c r="C741" i="3"/>
  <c r="C742" i="3"/>
  <c r="C743" i="3"/>
  <c r="C744" i="3"/>
  <c r="C745" i="3"/>
  <c r="C746" i="3"/>
  <c r="C747" i="3"/>
  <c r="C748" i="3"/>
  <c r="C749" i="3"/>
  <c r="C750" i="3"/>
  <c r="C751" i="3"/>
  <c r="C752" i="3"/>
  <c r="C753" i="3"/>
  <c r="C754" i="3"/>
  <c r="C755" i="3"/>
  <c r="C756" i="3"/>
  <c r="C757" i="3"/>
  <c r="C758" i="3"/>
  <c r="C759" i="3"/>
  <c r="C760" i="3"/>
  <c r="C761" i="3"/>
  <c r="C762" i="3"/>
  <c r="C763" i="3"/>
  <c r="C764" i="3"/>
  <c r="C765" i="3"/>
  <c r="C766" i="3"/>
  <c r="C767" i="3"/>
  <c r="C768" i="3"/>
  <c r="C769" i="3"/>
  <c r="C770" i="3"/>
  <c r="C771" i="3"/>
  <c r="C772" i="3"/>
  <c r="C773" i="3"/>
  <c r="C774" i="3"/>
  <c r="C775" i="3"/>
  <c r="C776" i="3"/>
  <c r="C777" i="3"/>
  <c r="C778" i="3"/>
  <c r="C779" i="3"/>
  <c r="C780" i="3"/>
  <c r="C781" i="3"/>
  <c r="C782" i="3"/>
  <c r="C783" i="3"/>
  <c r="C784" i="3"/>
  <c r="C785" i="3"/>
  <c r="C786" i="3"/>
  <c r="C787" i="3"/>
  <c r="C788" i="3"/>
  <c r="C789" i="3"/>
  <c r="C790" i="3"/>
  <c r="C791" i="3"/>
  <c r="C792" i="3"/>
  <c r="C793" i="3"/>
  <c r="C794" i="3"/>
  <c r="C795" i="3"/>
  <c r="C796" i="3"/>
  <c r="C797" i="3"/>
  <c r="C798" i="3"/>
  <c r="C799" i="3"/>
  <c r="C800" i="3"/>
  <c r="C801" i="3"/>
  <c r="C802" i="3"/>
  <c r="C803" i="3"/>
  <c r="C804" i="3"/>
  <c r="C805" i="3"/>
  <c r="C806" i="3"/>
  <c r="C807" i="3"/>
  <c r="C808" i="3"/>
  <c r="C809" i="3"/>
  <c r="C810" i="3"/>
  <c r="C811" i="3"/>
  <c r="C812" i="3"/>
  <c r="C813" i="3"/>
  <c r="C814" i="3"/>
  <c r="C815" i="3"/>
  <c r="C816" i="3"/>
  <c r="C817" i="3"/>
  <c r="C818" i="3"/>
  <c r="C819" i="3"/>
  <c r="C820" i="3"/>
  <c r="C821" i="3"/>
  <c r="C822" i="3"/>
  <c r="C823" i="3"/>
  <c r="C824" i="3"/>
  <c r="C825" i="3"/>
  <c r="C826" i="3"/>
  <c r="C827" i="3"/>
  <c r="C828" i="3"/>
  <c r="C829" i="3"/>
  <c r="C830" i="3"/>
  <c r="C831" i="3"/>
  <c r="C832" i="3"/>
  <c r="C833" i="3"/>
  <c r="C834" i="3"/>
  <c r="C835" i="3"/>
  <c r="C836" i="3"/>
  <c r="C837" i="3"/>
  <c r="C838" i="3"/>
  <c r="C839" i="3"/>
  <c r="C840" i="3"/>
  <c r="C841" i="3"/>
  <c r="C842" i="3"/>
  <c r="C843" i="3"/>
  <c r="C844" i="3"/>
  <c r="C845" i="3"/>
  <c r="C846" i="3"/>
  <c r="C847" i="3"/>
  <c r="C848" i="3"/>
  <c r="C849" i="3"/>
  <c r="C850" i="3"/>
  <c r="C851" i="3"/>
  <c r="C852" i="3"/>
  <c r="C853" i="3"/>
  <c r="C854" i="3"/>
  <c r="C855" i="3"/>
  <c r="C856" i="3"/>
  <c r="C857" i="3"/>
  <c r="C858" i="3"/>
  <c r="C859" i="3"/>
  <c r="C860" i="3"/>
  <c r="C861" i="3"/>
  <c r="C862" i="3"/>
  <c r="C863" i="3"/>
  <c r="C864" i="3"/>
  <c r="C865" i="3"/>
  <c r="C866" i="3"/>
  <c r="C867" i="3"/>
  <c r="C868" i="3"/>
  <c r="C869" i="3"/>
  <c r="C870" i="3"/>
  <c r="C871" i="3"/>
  <c r="C872" i="3"/>
  <c r="C873" i="3"/>
  <c r="C874" i="3"/>
  <c r="C875" i="3"/>
  <c r="C876" i="3"/>
  <c r="C877" i="3"/>
  <c r="C878" i="3"/>
  <c r="C879" i="3"/>
  <c r="C880" i="3"/>
  <c r="C881" i="3"/>
  <c r="C882" i="3"/>
  <c r="C883" i="3"/>
  <c r="C884" i="3"/>
  <c r="C885" i="3"/>
  <c r="C886" i="3"/>
  <c r="C887" i="3"/>
  <c r="C888" i="3"/>
  <c r="C889" i="3"/>
  <c r="C890" i="3"/>
  <c r="C891" i="3"/>
  <c r="C892" i="3"/>
  <c r="C893" i="3"/>
  <c r="C894" i="3"/>
  <c r="C895" i="3"/>
  <c r="C896" i="3"/>
  <c r="C897" i="3"/>
  <c r="C898" i="3"/>
  <c r="C899" i="3"/>
  <c r="C900" i="3"/>
  <c r="C901" i="3"/>
  <c r="C902" i="3"/>
  <c r="C903" i="3"/>
  <c r="C904" i="3"/>
  <c r="C905" i="3"/>
  <c r="C906" i="3"/>
  <c r="C907" i="3"/>
  <c r="C908" i="3"/>
  <c r="C909" i="3"/>
  <c r="C910" i="3"/>
  <c r="C911" i="3"/>
  <c r="C912" i="3"/>
  <c r="C913" i="3"/>
  <c r="C914" i="3"/>
  <c r="C915" i="3"/>
  <c r="C916" i="3"/>
  <c r="C917" i="3"/>
  <c r="C918" i="3"/>
  <c r="C919" i="3"/>
  <c r="C920" i="3"/>
  <c r="C921" i="3"/>
  <c r="C922" i="3"/>
  <c r="C923" i="3"/>
  <c r="C924" i="3"/>
  <c r="C925" i="3"/>
  <c r="C926" i="3"/>
  <c r="C927" i="3"/>
  <c r="C928" i="3"/>
  <c r="C929" i="3"/>
  <c r="C930" i="3"/>
  <c r="C931" i="3"/>
  <c r="C932" i="3"/>
  <c r="C933" i="3"/>
  <c r="C934" i="3"/>
  <c r="C935" i="3"/>
  <c r="C936" i="3"/>
  <c r="C937" i="3"/>
  <c r="C938" i="3"/>
  <c r="C939" i="3"/>
  <c r="C940" i="3"/>
  <c r="C941" i="3"/>
  <c r="C942" i="3"/>
  <c r="C943" i="3"/>
  <c r="C944" i="3"/>
  <c r="C945" i="3"/>
  <c r="C946" i="3"/>
  <c r="C947" i="3"/>
  <c r="C948" i="3"/>
  <c r="C949" i="3"/>
  <c r="C950" i="3"/>
  <c r="C951" i="3"/>
  <c r="C952" i="3"/>
  <c r="C953" i="3"/>
  <c r="C954" i="3"/>
  <c r="C955" i="3"/>
  <c r="C956" i="3"/>
  <c r="C957" i="3"/>
  <c r="C958" i="3"/>
  <c r="C959" i="3"/>
  <c r="C960" i="3"/>
  <c r="C961" i="3"/>
  <c r="C962" i="3"/>
  <c r="C963" i="3"/>
  <c r="C964" i="3"/>
  <c r="C965" i="3"/>
  <c r="C966" i="3"/>
  <c r="C967" i="3"/>
  <c r="C968" i="3"/>
  <c r="C969" i="3"/>
  <c r="C970" i="3"/>
  <c r="C971" i="3"/>
  <c r="C972" i="3"/>
  <c r="C973" i="3"/>
  <c r="C974" i="3"/>
  <c r="C975" i="3"/>
  <c r="C976" i="3"/>
  <c r="C977" i="3"/>
  <c r="C978" i="3"/>
  <c r="C979" i="3"/>
  <c r="C980" i="3"/>
  <c r="C981" i="3"/>
  <c r="C982" i="3"/>
  <c r="C983" i="3"/>
  <c r="C984" i="3"/>
  <c r="C985" i="3"/>
  <c r="C986" i="3"/>
  <c r="C987" i="3"/>
  <c r="C988" i="3"/>
  <c r="C989" i="3"/>
  <c r="C990" i="3"/>
  <c r="C991" i="3"/>
  <c r="C992" i="3"/>
  <c r="C993" i="3"/>
  <c r="C994" i="3"/>
  <c r="C995" i="3"/>
  <c r="C996" i="3"/>
  <c r="C997" i="3"/>
  <c r="C998" i="3"/>
  <c r="C999" i="3"/>
  <c r="C1000" i="3"/>
  <c r="C1001" i="3"/>
  <c r="C1002" i="3"/>
  <c r="C1003" i="3"/>
  <c r="C1004" i="3"/>
  <c r="C1005" i="3"/>
  <c r="C1006" i="3"/>
  <c r="C1007" i="3"/>
  <c r="C1008" i="3"/>
  <c r="C1009" i="3"/>
  <c r="C1010" i="3"/>
  <c r="C1011" i="3"/>
  <c r="C1012" i="3"/>
  <c r="C1013" i="3"/>
  <c r="C1014" i="3"/>
  <c r="C1015" i="3"/>
  <c r="C1016" i="3"/>
  <c r="C1017" i="3"/>
  <c r="C1018" i="3"/>
  <c r="C1019" i="3"/>
  <c r="C1020" i="3"/>
  <c r="C1021" i="3"/>
  <c r="C1022" i="3"/>
  <c r="C1023" i="3"/>
  <c r="C1024" i="3"/>
  <c r="C1025" i="3"/>
  <c r="C1026" i="3"/>
  <c r="C1027" i="3"/>
  <c r="C1028" i="3"/>
  <c r="C1029" i="3"/>
  <c r="C1030" i="3"/>
  <c r="C1031" i="3"/>
  <c r="C1032" i="3"/>
  <c r="C1033" i="3"/>
  <c r="C1034" i="3"/>
  <c r="C1035" i="3"/>
  <c r="C1036" i="3"/>
  <c r="C1037" i="3"/>
  <c r="C1038" i="3"/>
  <c r="C1039" i="3"/>
  <c r="C1040" i="3"/>
  <c r="C1041" i="3"/>
  <c r="C1042" i="3"/>
  <c r="C1043" i="3"/>
  <c r="C1044" i="3"/>
  <c r="C1045" i="3"/>
  <c r="C1046" i="3"/>
  <c r="C1047" i="3"/>
  <c r="C1048" i="3"/>
  <c r="C1049" i="3"/>
  <c r="C1050" i="3"/>
  <c r="C1051" i="3"/>
  <c r="C1052" i="3"/>
  <c r="C1053" i="3"/>
  <c r="C1054" i="3"/>
  <c r="C1055" i="3"/>
  <c r="C1056" i="3"/>
  <c r="C1057" i="3"/>
  <c r="C1058" i="3"/>
  <c r="C1059" i="3"/>
  <c r="C1060" i="3"/>
  <c r="C1061" i="3"/>
  <c r="C1062" i="3"/>
  <c r="C1063" i="3"/>
  <c r="C1064" i="3"/>
  <c r="C1065" i="3"/>
  <c r="C1066" i="3"/>
  <c r="C1067" i="3"/>
  <c r="C1068" i="3"/>
  <c r="C1069" i="3"/>
  <c r="C1070" i="3"/>
  <c r="C1071" i="3"/>
  <c r="C1072" i="3"/>
  <c r="C1073" i="3"/>
  <c r="C1074" i="3"/>
  <c r="C1075" i="3"/>
  <c r="C1076" i="3"/>
  <c r="C1077" i="3"/>
  <c r="C1078" i="3"/>
  <c r="C1079" i="3"/>
  <c r="C1080" i="3"/>
  <c r="C1081" i="3"/>
  <c r="C1082" i="3"/>
  <c r="C1083" i="3"/>
  <c r="C1084" i="3"/>
  <c r="C1085" i="3"/>
  <c r="C1086" i="3"/>
  <c r="C1087" i="3"/>
  <c r="C1088" i="3"/>
  <c r="C1089" i="3"/>
  <c r="C1090" i="3"/>
  <c r="C1091" i="3"/>
  <c r="C1092" i="3"/>
  <c r="C1093" i="3"/>
  <c r="C1094" i="3"/>
  <c r="C1095" i="3"/>
  <c r="C1096" i="3"/>
  <c r="C1097" i="3"/>
  <c r="C1098" i="3"/>
  <c r="C1099" i="3"/>
  <c r="C1100" i="3"/>
  <c r="C1101" i="3"/>
  <c r="C1102" i="3"/>
  <c r="C1103" i="3"/>
  <c r="C1104" i="3"/>
  <c r="C1105" i="3"/>
  <c r="C1106" i="3"/>
  <c r="C1107" i="3"/>
  <c r="C1108" i="3"/>
  <c r="C1109" i="3"/>
  <c r="C1110" i="3"/>
  <c r="C1111" i="3"/>
  <c r="C1112" i="3"/>
  <c r="C1113" i="3"/>
  <c r="C1114" i="3"/>
  <c r="C1115" i="3"/>
  <c r="C1116" i="3"/>
  <c r="C1117" i="3"/>
  <c r="C1118" i="3"/>
  <c r="C1119" i="3"/>
  <c r="C1120" i="3"/>
  <c r="C1121" i="3"/>
  <c r="C1122" i="3"/>
  <c r="C1123" i="3"/>
  <c r="C1124" i="3"/>
  <c r="C1125" i="3"/>
  <c r="C1126" i="3"/>
  <c r="C1127" i="3"/>
  <c r="C1128" i="3"/>
  <c r="C1129" i="3"/>
  <c r="C1130" i="3"/>
  <c r="C1131" i="3"/>
  <c r="C1132" i="3"/>
  <c r="C1133" i="3"/>
  <c r="C1134" i="3"/>
  <c r="C1135" i="3"/>
  <c r="C1136" i="3"/>
  <c r="C1137" i="3"/>
  <c r="C1138" i="3"/>
  <c r="C1139" i="3"/>
  <c r="C1140" i="3"/>
  <c r="C1141" i="3"/>
  <c r="C1142" i="3"/>
  <c r="C1143" i="3"/>
  <c r="C1144" i="3"/>
  <c r="C1145" i="3"/>
  <c r="C1146" i="3"/>
  <c r="C1147" i="3"/>
  <c r="C1148" i="3"/>
  <c r="C1149" i="3"/>
  <c r="C1150" i="3"/>
  <c r="C1151" i="3"/>
  <c r="C1152" i="3"/>
  <c r="C1153" i="3"/>
  <c r="C1154" i="3"/>
  <c r="C1155" i="3"/>
  <c r="C1156" i="3"/>
  <c r="C1157" i="3"/>
  <c r="C1158" i="3"/>
  <c r="C1159" i="3"/>
  <c r="C1160" i="3"/>
  <c r="C1161" i="3"/>
  <c r="C1162" i="3"/>
  <c r="C1163" i="3"/>
  <c r="C1164" i="3"/>
  <c r="C1165" i="3"/>
  <c r="C1166" i="3"/>
  <c r="C1167" i="3"/>
  <c r="C1168" i="3"/>
  <c r="C1169" i="3"/>
  <c r="C1170" i="3"/>
  <c r="C1171" i="3"/>
  <c r="C1172" i="3"/>
  <c r="C1173" i="3"/>
  <c r="C1174" i="3"/>
  <c r="C1175" i="3"/>
  <c r="C1176" i="3"/>
  <c r="C1177" i="3"/>
  <c r="C1178" i="3"/>
  <c r="C1179" i="3"/>
  <c r="C1180" i="3"/>
  <c r="C1181" i="3"/>
  <c r="C1182" i="3"/>
  <c r="C1183" i="3"/>
  <c r="C1184" i="3"/>
  <c r="C1185" i="3"/>
  <c r="C1186" i="3"/>
  <c r="C1187" i="3"/>
  <c r="C1188" i="3"/>
  <c r="C1189" i="3"/>
  <c r="C1190" i="3"/>
  <c r="C1191" i="3"/>
  <c r="C1192" i="3"/>
  <c r="C1193" i="3"/>
  <c r="C1194" i="3"/>
  <c r="C1195" i="3"/>
  <c r="C1196" i="3"/>
  <c r="C1197" i="3"/>
  <c r="C1198" i="3"/>
  <c r="C1199" i="3"/>
  <c r="C1200" i="3"/>
  <c r="C1201" i="3"/>
  <c r="C1202" i="3"/>
  <c r="C1203" i="3"/>
  <c r="C1204" i="3"/>
  <c r="C1205" i="3"/>
  <c r="C1206" i="3"/>
  <c r="C1207" i="3"/>
  <c r="C1208" i="3"/>
  <c r="C1209" i="3"/>
  <c r="C1210" i="3"/>
  <c r="C1211" i="3"/>
  <c r="C1212" i="3"/>
  <c r="C1213" i="3"/>
  <c r="C1214" i="3"/>
  <c r="C1215" i="3"/>
  <c r="C1216" i="3"/>
  <c r="C1217" i="3"/>
  <c r="C1218" i="3"/>
  <c r="C1219" i="3"/>
  <c r="C1220" i="3"/>
  <c r="C1221" i="3"/>
  <c r="C1222" i="3"/>
  <c r="C1223" i="3"/>
  <c r="C1224" i="3"/>
  <c r="C1225" i="3"/>
  <c r="C1226" i="3"/>
  <c r="C1227" i="3"/>
  <c r="C1228" i="3"/>
  <c r="C1229" i="3"/>
  <c r="C1230" i="3"/>
  <c r="C1231" i="3"/>
  <c r="C1232" i="3"/>
  <c r="C1233" i="3"/>
  <c r="C1234" i="3"/>
  <c r="C1235" i="3"/>
  <c r="C1236" i="3"/>
  <c r="C1237" i="3"/>
  <c r="C1238" i="3"/>
  <c r="C1239" i="3"/>
  <c r="C1240" i="3"/>
  <c r="C1241" i="3"/>
  <c r="C1242" i="3"/>
  <c r="C1243" i="3"/>
  <c r="C1244" i="3"/>
  <c r="C1245" i="3"/>
  <c r="C1246" i="3"/>
  <c r="C1247" i="3"/>
  <c r="C1248" i="3"/>
  <c r="C1249" i="3"/>
  <c r="C1250" i="3"/>
  <c r="C1251" i="3"/>
  <c r="C1252" i="3"/>
  <c r="C1253" i="3"/>
  <c r="C1254" i="3"/>
  <c r="C1255" i="3"/>
  <c r="C1256" i="3"/>
  <c r="C1257" i="3"/>
  <c r="C1258" i="3"/>
  <c r="C1259" i="3"/>
  <c r="C1260" i="3"/>
  <c r="C1261" i="3"/>
  <c r="C1262" i="3"/>
  <c r="C1263" i="3"/>
  <c r="C1264" i="3"/>
  <c r="C1265" i="3"/>
  <c r="C1266" i="3"/>
  <c r="C1267" i="3"/>
  <c r="C1268" i="3"/>
  <c r="C1269" i="3"/>
  <c r="C1270" i="3"/>
  <c r="C1271" i="3"/>
  <c r="C1272" i="3"/>
  <c r="C1273" i="3"/>
  <c r="C1274" i="3"/>
  <c r="C1275" i="3"/>
  <c r="C1276" i="3"/>
  <c r="C1277" i="3"/>
  <c r="C1278" i="3"/>
  <c r="C1279" i="3"/>
  <c r="C1280" i="3"/>
  <c r="C1281" i="3"/>
  <c r="C1282" i="3"/>
  <c r="C1283" i="3"/>
  <c r="C1284" i="3"/>
  <c r="C1285" i="3"/>
  <c r="C1286" i="3"/>
  <c r="C1287" i="3"/>
  <c r="C1288" i="3"/>
  <c r="C1289" i="3"/>
  <c r="C1290" i="3"/>
  <c r="C1291" i="3"/>
  <c r="C1292" i="3"/>
  <c r="C1293" i="3"/>
  <c r="C1294" i="3"/>
  <c r="C1295" i="3"/>
  <c r="C1296" i="3"/>
  <c r="C1297" i="3"/>
  <c r="C1298" i="3"/>
  <c r="C1299" i="3"/>
  <c r="C1300" i="3"/>
  <c r="C1301" i="3"/>
  <c r="C1302" i="3"/>
  <c r="C1303" i="3"/>
  <c r="C1304" i="3"/>
  <c r="C1305" i="3"/>
  <c r="C1306" i="3"/>
  <c r="C1307" i="3"/>
  <c r="C1308" i="3"/>
  <c r="C1309" i="3"/>
  <c r="C1310" i="3"/>
  <c r="C1311" i="3"/>
  <c r="C1312" i="3"/>
  <c r="C1313" i="3"/>
  <c r="C1314" i="3"/>
  <c r="C1315" i="3"/>
  <c r="C1316" i="3"/>
  <c r="C1317" i="3"/>
  <c r="C1318" i="3"/>
  <c r="C1319" i="3"/>
  <c r="C1320" i="3"/>
  <c r="C1321" i="3"/>
  <c r="C1322" i="3"/>
  <c r="C1323" i="3"/>
  <c r="C1324" i="3"/>
  <c r="C1325" i="3"/>
  <c r="C1326" i="3"/>
  <c r="C1327" i="3"/>
  <c r="C1328" i="3"/>
  <c r="C1329" i="3"/>
  <c r="C1330" i="3"/>
  <c r="C1331" i="3"/>
  <c r="C1332" i="3"/>
  <c r="C1333" i="3"/>
  <c r="C1334" i="3"/>
  <c r="C1335" i="3"/>
  <c r="C1336" i="3"/>
  <c r="C1337" i="3"/>
  <c r="C1338" i="3"/>
  <c r="C1339" i="3"/>
  <c r="C1340" i="3"/>
  <c r="C1341" i="3"/>
  <c r="C1342" i="3"/>
  <c r="C1343" i="3"/>
  <c r="C1344" i="3"/>
  <c r="C1345" i="3"/>
  <c r="C1346" i="3"/>
  <c r="C1347" i="3"/>
  <c r="C1348" i="3"/>
  <c r="C1349" i="3"/>
  <c r="C1350" i="3"/>
  <c r="C1351" i="3"/>
  <c r="C1352" i="3"/>
  <c r="C1353" i="3"/>
  <c r="C1354" i="3"/>
  <c r="C1355" i="3"/>
  <c r="C1356" i="3"/>
  <c r="C1357" i="3"/>
  <c r="C1358" i="3"/>
  <c r="C1359" i="3"/>
  <c r="C1360" i="3"/>
  <c r="C1361" i="3"/>
  <c r="C1362" i="3"/>
  <c r="C1363" i="3"/>
  <c r="C1364" i="3"/>
  <c r="C1365" i="3"/>
  <c r="C1366" i="3"/>
  <c r="C1367" i="3"/>
  <c r="C1368" i="3"/>
  <c r="C1369" i="3"/>
  <c r="C1370" i="3"/>
  <c r="C1371" i="3"/>
  <c r="C1372" i="3"/>
  <c r="C1373" i="3"/>
  <c r="C1374" i="3"/>
  <c r="C1375" i="3"/>
  <c r="C1376" i="3"/>
  <c r="C1377" i="3"/>
  <c r="C1378" i="3"/>
  <c r="C1379" i="3"/>
  <c r="C1380" i="3"/>
  <c r="C1381" i="3"/>
  <c r="C1382" i="3"/>
  <c r="C1383" i="3"/>
  <c r="C1384" i="3"/>
  <c r="C1385" i="3"/>
  <c r="C1386" i="3"/>
  <c r="C1387" i="3"/>
  <c r="C1388" i="3"/>
  <c r="C1389" i="3"/>
  <c r="C1390" i="3"/>
  <c r="C1391" i="3"/>
  <c r="C1392" i="3"/>
  <c r="C1393" i="3"/>
  <c r="C1394" i="3"/>
  <c r="C1395" i="3"/>
  <c r="C1396" i="3"/>
  <c r="C1397" i="3"/>
  <c r="C1398" i="3"/>
  <c r="C1399" i="3"/>
  <c r="C1400" i="3"/>
  <c r="C1401" i="3"/>
  <c r="C1402" i="3"/>
  <c r="C1403" i="3"/>
  <c r="C1404" i="3"/>
  <c r="C1405" i="3"/>
  <c r="C1406" i="3"/>
  <c r="C1407" i="3"/>
  <c r="C1408" i="3"/>
  <c r="C1409" i="3"/>
  <c r="C1410" i="3"/>
  <c r="C1411" i="3"/>
  <c r="C1412" i="3"/>
  <c r="C1413" i="3"/>
  <c r="C1414" i="3"/>
  <c r="C1415" i="3"/>
  <c r="C1416" i="3"/>
  <c r="C1417" i="3"/>
  <c r="C1418" i="3"/>
  <c r="C1419" i="3"/>
  <c r="C1420" i="3"/>
  <c r="C1421" i="3"/>
  <c r="C1422" i="3"/>
  <c r="C1423" i="3"/>
  <c r="C1424" i="3"/>
  <c r="C1425" i="3"/>
  <c r="C1426" i="3"/>
  <c r="C1427" i="3"/>
  <c r="C1428" i="3"/>
  <c r="C1429" i="3"/>
  <c r="C1430" i="3"/>
  <c r="C1431" i="3"/>
  <c r="C1432" i="3"/>
  <c r="C1433" i="3"/>
  <c r="C1434" i="3"/>
  <c r="C1435" i="3"/>
  <c r="C1436" i="3"/>
  <c r="C1437" i="3"/>
  <c r="C1438" i="3"/>
  <c r="C1439" i="3"/>
  <c r="C1440" i="3"/>
  <c r="C1441" i="3"/>
  <c r="C1442" i="3"/>
  <c r="C1443" i="3"/>
  <c r="C1444" i="3"/>
  <c r="C1445" i="3"/>
  <c r="C1446" i="3"/>
  <c r="C1447" i="3"/>
  <c r="C1448" i="3"/>
  <c r="C1449" i="3"/>
  <c r="C1450" i="3"/>
  <c r="C1451" i="3"/>
  <c r="C1452" i="3"/>
  <c r="C1453" i="3"/>
  <c r="C1454" i="3"/>
  <c r="C1455" i="3"/>
  <c r="C1456" i="3"/>
  <c r="C1457" i="3"/>
  <c r="C1458" i="3"/>
  <c r="C1459" i="3"/>
  <c r="C1460" i="3"/>
  <c r="C1461" i="3"/>
  <c r="C1462" i="3"/>
  <c r="C1463" i="3"/>
  <c r="C1464" i="3"/>
  <c r="C1465" i="3"/>
  <c r="C1466" i="3"/>
  <c r="C1467" i="3"/>
  <c r="C1468" i="3"/>
  <c r="C1469" i="3"/>
  <c r="C1470" i="3"/>
  <c r="C1471" i="3"/>
  <c r="C1472" i="3"/>
  <c r="C1473" i="3"/>
  <c r="C1474" i="3"/>
  <c r="C1475" i="3"/>
  <c r="C1476" i="3"/>
  <c r="C1477" i="3"/>
  <c r="C1478" i="3"/>
  <c r="C1479" i="3"/>
  <c r="C1480" i="3"/>
  <c r="C1481" i="3"/>
  <c r="C1482" i="3"/>
  <c r="C1483" i="3"/>
  <c r="C1484" i="3"/>
  <c r="C1485" i="3"/>
  <c r="C1486" i="3"/>
  <c r="C1487" i="3"/>
  <c r="C1488" i="3"/>
  <c r="C1489" i="3"/>
  <c r="C1490" i="3"/>
  <c r="C1491" i="3"/>
  <c r="C1492" i="3"/>
  <c r="C1493" i="3"/>
  <c r="C1494" i="3"/>
  <c r="C1495" i="3"/>
  <c r="C1496" i="3"/>
  <c r="C1497" i="3"/>
  <c r="C1498" i="3"/>
  <c r="C1499" i="3"/>
  <c r="C1500" i="3"/>
  <c r="C1501" i="3"/>
  <c r="C1502" i="3"/>
  <c r="C1503" i="3"/>
  <c r="C1504" i="3"/>
  <c r="C1505" i="3"/>
  <c r="C1506" i="3"/>
  <c r="C1507" i="3"/>
  <c r="C1508" i="3"/>
  <c r="C1509" i="3"/>
  <c r="C1510" i="3"/>
  <c r="C1511" i="3"/>
  <c r="C1512" i="3"/>
  <c r="C1513" i="3"/>
  <c r="C1514" i="3"/>
  <c r="C1515" i="3"/>
  <c r="C1516" i="3"/>
  <c r="C1517" i="3"/>
  <c r="C1518" i="3"/>
  <c r="C1519" i="3"/>
  <c r="C1520" i="3"/>
  <c r="C1521" i="3"/>
  <c r="C1522" i="3"/>
  <c r="C1523" i="3"/>
  <c r="C1524" i="3"/>
  <c r="C1525" i="3"/>
  <c r="C1526" i="3"/>
  <c r="C1527" i="3"/>
  <c r="C1528" i="3"/>
  <c r="C1529" i="3"/>
  <c r="C1530" i="3"/>
  <c r="C1531" i="3"/>
  <c r="C1532" i="3"/>
  <c r="C1533" i="3"/>
  <c r="C1534" i="3"/>
  <c r="C1535" i="3"/>
  <c r="C1536" i="3"/>
  <c r="C1537" i="3"/>
  <c r="C1538" i="3"/>
  <c r="C1539" i="3"/>
  <c r="C1540" i="3"/>
  <c r="C1541" i="3"/>
  <c r="C1542" i="3"/>
  <c r="C1543" i="3"/>
  <c r="C1544" i="3"/>
  <c r="C1545" i="3"/>
  <c r="C1546" i="3"/>
  <c r="C1547" i="3"/>
  <c r="C1548" i="3"/>
  <c r="C1549" i="3"/>
  <c r="C1550" i="3"/>
  <c r="C1551" i="3"/>
  <c r="C1552" i="3"/>
  <c r="C1553" i="3"/>
  <c r="C1554" i="3"/>
  <c r="C1555" i="3"/>
  <c r="C1556" i="3"/>
  <c r="C1557" i="3"/>
  <c r="C1558" i="3"/>
  <c r="C1559" i="3"/>
  <c r="C1560" i="3"/>
  <c r="C1561" i="3"/>
  <c r="C1562" i="3"/>
  <c r="C1563" i="3"/>
  <c r="C1564" i="3"/>
  <c r="C1565" i="3"/>
  <c r="C1566" i="3"/>
  <c r="C1567" i="3"/>
  <c r="C1568" i="3"/>
  <c r="C1569" i="3"/>
  <c r="C1570" i="3"/>
  <c r="C1571" i="3"/>
  <c r="C1572" i="3"/>
  <c r="C1573" i="3"/>
  <c r="C1574" i="3"/>
  <c r="C1575" i="3"/>
  <c r="C1576" i="3"/>
  <c r="C1577" i="3"/>
  <c r="C1578" i="3"/>
  <c r="C1579" i="3"/>
  <c r="C1580" i="3"/>
  <c r="C1581" i="3"/>
  <c r="C1582" i="3"/>
  <c r="C1583" i="3"/>
  <c r="C1584" i="3"/>
  <c r="C1585" i="3"/>
  <c r="C1586" i="3"/>
  <c r="C1587" i="3"/>
  <c r="C1588" i="3"/>
  <c r="C1589" i="3"/>
  <c r="C1590" i="3"/>
  <c r="C1591" i="3"/>
  <c r="C1592" i="3"/>
  <c r="C1593" i="3"/>
  <c r="C1594" i="3"/>
  <c r="C1595" i="3"/>
  <c r="C1596" i="3"/>
  <c r="C1597" i="3"/>
  <c r="C1598" i="3"/>
  <c r="C1599" i="3"/>
  <c r="C1600" i="3"/>
  <c r="C1601" i="3"/>
  <c r="C1602" i="3"/>
  <c r="C1603" i="3"/>
  <c r="C1604" i="3"/>
  <c r="C1605" i="3"/>
  <c r="C1606" i="3"/>
  <c r="C1607" i="3"/>
  <c r="C1608" i="3"/>
  <c r="C1609" i="3"/>
  <c r="C1610" i="3"/>
  <c r="C1611" i="3"/>
  <c r="C1612" i="3"/>
  <c r="C1613" i="3"/>
  <c r="C1614" i="3"/>
  <c r="C1615" i="3"/>
  <c r="C1616" i="3"/>
  <c r="C1617" i="3"/>
  <c r="C1618" i="3"/>
  <c r="C1619" i="3"/>
  <c r="C1620" i="3"/>
  <c r="C1621" i="3"/>
  <c r="C1622" i="3"/>
  <c r="C1623" i="3"/>
  <c r="C1624" i="3"/>
  <c r="C1625" i="3"/>
  <c r="C1626" i="3"/>
  <c r="C1627" i="3"/>
  <c r="C1628" i="3"/>
  <c r="C1629" i="3"/>
  <c r="C1630" i="3"/>
  <c r="C1631" i="3"/>
  <c r="C1632" i="3"/>
  <c r="C1633" i="3"/>
  <c r="C1634" i="3"/>
  <c r="C1635" i="3"/>
  <c r="C1636" i="3"/>
  <c r="C1637" i="3"/>
  <c r="C1638" i="3"/>
  <c r="C1639" i="3"/>
  <c r="C1640" i="3"/>
  <c r="C1641" i="3"/>
  <c r="C1642" i="3"/>
  <c r="C1643" i="3"/>
  <c r="C1644" i="3"/>
  <c r="C1645" i="3"/>
  <c r="C1646" i="3"/>
  <c r="C1647" i="3"/>
  <c r="C1648" i="3"/>
  <c r="C1649" i="3"/>
  <c r="C1650" i="3"/>
  <c r="C1651" i="3"/>
  <c r="C1652" i="3"/>
  <c r="C1653" i="3"/>
  <c r="C1654" i="3"/>
  <c r="C1655" i="3"/>
  <c r="C1656" i="3"/>
  <c r="C1657" i="3"/>
  <c r="C1658" i="3"/>
  <c r="C1659" i="3"/>
  <c r="C1660" i="3"/>
  <c r="C1661" i="3"/>
  <c r="C1662" i="3"/>
  <c r="C1663" i="3"/>
  <c r="C1664" i="3"/>
  <c r="C1665" i="3"/>
  <c r="C1666" i="3"/>
  <c r="C1667" i="3"/>
  <c r="C1668" i="3"/>
  <c r="C1669" i="3"/>
  <c r="C1670" i="3"/>
  <c r="C1671" i="3"/>
  <c r="C1672" i="3"/>
  <c r="C1673" i="3"/>
  <c r="C1674" i="3"/>
  <c r="C1675" i="3"/>
  <c r="C1676" i="3"/>
  <c r="C1677" i="3"/>
  <c r="C1678" i="3"/>
  <c r="C1679" i="3"/>
  <c r="C1680" i="3"/>
  <c r="C1681" i="3"/>
  <c r="C1682" i="3"/>
  <c r="C1683" i="3"/>
  <c r="C1684" i="3"/>
  <c r="C1685" i="3"/>
  <c r="C1686" i="3"/>
  <c r="C1687" i="3"/>
  <c r="C1688" i="3"/>
  <c r="C1689" i="3"/>
  <c r="C1690" i="3"/>
  <c r="C1691" i="3"/>
  <c r="C1692" i="3"/>
  <c r="C1693" i="3"/>
  <c r="C1694" i="3"/>
  <c r="C1695" i="3"/>
  <c r="C1696" i="3"/>
  <c r="C1697" i="3"/>
  <c r="C1698" i="3"/>
  <c r="C1699" i="3"/>
  <c r="C1700" i="3"/>
  <c r="C1701" i="3"/>
  <c r="C1702" i="3"/>
  <c r="C1703" i="3"/>
  <c r="C1704" i="3"/>
  <c r="C1705" i="3"/>
  <c r="C1706" i="3"/>
  <c r="C1707" i="3"/>
  <c r="C1708" i="3"/>
  <c r="C1709" i="3"/>
  <c r="C1710" i="3"/>
  <c r="C1711" i="3"/>
  <c r="C1712" i="3"/>
  <c r="C1713" i="3"/>
  <c r="C1714" i="3"/>
  <c r="C1715" i="3"/>
  <c r="C1716" i="3"/>
  <c r="C1717" i="3"/>
  <c r="C1718" i="3"/>
  <c r="C1719" i="3"/>
  <c r="C1720" i="3"/>
  <c r="C1721" i="3"/>
  <c r="C1722" i="3"/>
  <c r="C1723" i="3"/>
  <c r="C1724" i="3"/>
  <c r="C1725" i="3"/>
  <c r="C1726" i="3"/>
  <c r="C1727" i="3"/>
  <c r="C1728" i="3"/>
  <c r="C1729" i="3"/>
  <c r="C1730" i="3"/>
  <c r="C1731" i="3"/>
  <c r="C1732" i="3"/>
  <c r="C1733" i="3"/>
  <c r="C1734" i="3"/>
  <c r="C1735" i="3"/>
  <c r="C1736" i="3"/>
  <c r="C1737" i="3"/>
  <c r="C1738" i="3"/>
  <c r="C1739" i="3"/>
  <c r="C1740" i="3"/>
  <c r="C1741" i="3"/>
  <c r="C1742" i="3"/>
  <c r="C1743" i="3"/>
  <c r="C1744" i="3"/>
  <c r="C1745" i="3"/>
  <c r="C1746" i="3"/>
  <c r="C1747" i="3"/>
  <c r="C1748" i="3"/>
  <c r="C1749" i="3"/>
  <c r="C1750" i="3"/>
  <c r="C1751" i="3"/>
  <c r="C1752" i="3"/>
  <c r="C1753" i="3"/>
  <c r="C1754" i="3"/>
  <c r="C1755" i="3"/>
  <c r="C1756" i="3"/>
  <c r="C1757" i="3"/>
  <c r="C1758" i="3"/>
  <c r="C1759" i="3"/>
  <c r="C1760" i="3"/>
  <c r="C1761" i="3"/>
  <c r="C1762" i="3"/>
  <c r="C1763" i="3"/>
  <c r="C1764" i="3"/>
  <c r="C1765" i="3"/>
  <c r="C1766" i="3"/>
  <c r="C1767" i="3"/>
  <c r="C1768" i="3"/>
  <c r="C1769" i="3"/>
  <c r="C1770" i="3"/>
  <c r="C1771" i="3"/>
  <c r="C1772" i="3"/>
  <c r="C1773" i="3"/>
  <c r="C1774" i="3"/>
  <c r="C1775" i="3"/>
  <c r="C1776" i="3"/>
  <c r="C1777" i="3"/>
  <c r="C1778" i="3"/>
  <c r="C1779" i="3"/>
  <c r="C1780" i="3"/>
  <c r="C1781" i="3"/>
  <c r="C1782" i="3"/>
  <c r="C1783" i="3"/>
  <c r="C1784" i="3"/>
  <c r="C1785" i="3"/>
  <c r="C1786" i="3"/>
  <c r="C1787" i="3"/>
  <c r="C1788" i="3"/>
  <c r="C1789" i="3"/>
  <c r="C1790" i="3"/>
  <c r="C1791" i="3"/>
  <c r="C1792" i="3"/>
  <c r="C1793" i="3"/>
  <c r="C1794" i="3"/>
  <c r="C1795" i="3"/>
  <c r="C1796" i="3"/>
  <c r="C1797" i="3"/>
  <c r="C1798" i="3"/>
  <c r="C1799" i="3"/>
  <c r="C1800" i="3"/>
  <c r="C1801" i="3"/>
  <c r="C1802" i="3"/>
  <c r="C1803" i="3"/>
  <c r="C1804" i="3"/>
  <c r="C1805" i="3"/>
  <c r="C1806" i="3"/>
  <c r="C1807" i="3"/>
  <c r="C1808" i="3"/>
  <c r="C1809" i="3"/>
  <c r="C1810" i="3"/>
  <c r="C1811" i="3"/>
  <c r="C1812" i="3"/>
  <c r="C1813" i="3"/>
  <c r="C1814" i="3"/>
  <c r="C1815" i="3"/>
  <c r="C1816" i="3"/>
  <c r="C1817" i="3"/>
  <c r="C1818" i="3"/>
  <c r="C1819" i="3"/>
  <c r="C1820" i="3"/>
  <c r="C1821" i="3"/>
  <c r="C1822" i="3"/>
  <c r="C1823" i="3"/>
  <c r="C1824" i="3"/>
  <c r="C1825" i="3"/>
  <c r="C1826" i="3"/>
  <c r="C1827" i="3"/>
  <c r="C1828" i="3"/>
  <c r="C1829" i="3"/>
  <c r="C1830" i="3"/>
  <c r="C1831" i="3"/>
  <c r="C1832" i="3"/>
  <c r="C1833" i="3"/>
  <c r="C1834" i="3"/>
  <c r="C1835" i="3"/>
  <c r="C1836" i="3"/>
  <c r="C1837" i="3"/>
  <c r="C1838" i="3"/>
  <c r="C1839" i="3"/>
  <c r="C1840" i="3"/>
  <c r="C1841" i="3"/>
  <c r="C1842" i="3"/>
  <c r="C1843" i="3"/>
  <c r="C1844" i="3"/>
  <c r="C1845" i="3"/>
  <c r="C1846" i="3"/>
  <c r="C1847" i="3"/>
  <c r="C1848" i="3"/>
  <c r="C1849" i="3"/>
  <c r="C1850" i="3"/>
  <c r="C1851" i="3"/>
  <c r="C1852" i="3"/>
  <c r="C1853" i="3"/>
  <c r="C1854" i="3"/>
  <c r="C1855" i="3"/>
  <c r="C1856" i="3"/>
  <c r="C1857" i="3"/>
  <c r="C1858" i="3"/>
  <c r="C1859" i="3"/>
  <c r="C1860" i="3"/>
  <c r="C1861" i="3"/>
  <c r="C1862" i="3"/>
  <c r="C1863" i="3"/>
  <c r="C1864" i="3"/>
  <c r="C1865" i="3"/>
  <c r="C1866" i="3"/>
  <c r="C1867" i="3"/>
  <c r="C1868" i="3"/>
  <c r="C1869" i="3"/>
  <c r="C1870" i="3"/>
  <c r="C1871" i="3"/>
  <c r="C1872" i="3"/>
  <c r="C1873" i="3"/>
  <c r="C1874" i="3"/>
  <c r="C1875" i="3"/>
  <c r="C1876" i="3"/>
  <c r="C1877" i="3"/>
  <c r="C1878" i="3"/>
  <c r="C1879" i="3"/>
  <c r="C1880" i="3"/>
  <c r="C1881" i="3"/>
  <c r="C1882" i="3"/>
  <c r="C1883" i="3"/>
  <c r="C1884" i="3"/>
  <c r="C1885" i="3"/>
  <c r="C1886" i="3"/>
  <c r="C1887" i="3"/>
  <c r="C1888" i="3"/>
  <c r="C1889" i="3"/>
  <c r="C1890" i="3"/>
  <c r="C1891" i="3"/>
  <c r="C1892" i="3"/>
  <c r="C1893" i="3"/>
  <c r="C1894" i="3"/>
  <c r="C1895" i="3"/>
  <c r="C1896" i="3"/>
  <c r="C1897" i="3"/>
  <c r="C1898" i="3"/>
  <c r="C1899" i="3"/>
  <c r="C1900" i="3"/>
  <c r="C1901" i="3"/>
  <c r="C1902" i="3"/>
  <c r="C1903" i="3"/>
  <c r="C1904" i="3"/>
  <c r="C1905" i="3"/>
  <c r="C1906" i="3"/>
  <c r="C1907" i="3"/>
  <c r="C1908" i="3"/>
  <c r="C1909" i="3"/>
  <c r="C1910" i="3"/>
  <c r="C1911" i="3"/>
  <c r="C1912" i="3"/>
  <c r="C1913" i="3"/>
  <c r="C1914" i="3"/>
  <c r="C1915" i="3"/>
  <c r="C1916" i="3"/>
  <c r="C1917" i="3"/>
  <c r="C1918" i="3"/>
  <c r="C1919" i="3"/>
  <c r="C1920" i="3"/>
  <c r="C1921" i="3"/>
  <c r="C1922" i="3"/>
  <c r="C1923" i="3"/>
  <c r="C1924" i="3"/>
  <c r="C1925" i="3"/>
  <c r="C1926" i="3"/>
  <c r="C1927" i="3"/>
  <c r="C1928" i="3"/>
  <c r="C1929" i="3"/>
  <c r="C1930" i="3"/>
  <c r="C1931" i="3"/>
  <c r="C1932" i="3"/>
  <c r="C1933" i="3"/>
  <c r="C1934" i="3"/>
  <c r="C1935" i="3"/>
  <c r="C1936" i="3"/>
  <c r="C1937" i="3"/>
  <c r="C1938" i="3"/>
  <c r="C1939" i="3"/>
  <c r="C1940" i="3"/>
  <c r="C1941" i="3"/>
  <c r="C1942" i="3"/>
  <c r="C1943" i="3"/>
  <c r="C1944" i="3"/>
  <c r="C1945" i="3"/>
  <c r="C1946" i="3"/>
  <c r="C1947" i="3"/>
  <c r="C1948" i="3"/>
  <c r="C1949" i="3"/>
  <c r="C1950" i="3"/>
  <c r="C1951" i="3"/>
  <c r="C1952" i="3"/>
  <c r="C1953" i="3"/>
  <c r="C1954" i="3"/>
  <c r="C1955" i="3"/>
  <c r="C1956" i="3"/>
  <c r="C1957" i="3"/>
  <c r="C1958" i="3"/>
  <c r="C1959" i="3"/>
  <c r="C1960" i="3"/>
  <c r="C1961" i="3"/>
  <c r="C1962" i="3"/>
  <c r="C1963" i="3"/>
  <c r="C1964" i="3"/>
  <c r="C1965" i="3"/>
  <c r="C1966" i="3"/>
  <c r="C1967" i="3"/>
  <c r="C1968" i="3"/>
  <c r="C1969" i="3"/>
  <c r="C1970" i="3"/>
  <c r="C1971" i="3"/>
  <c r="C1972" i="3"/>
  <c r="C1973" i="3"/>
  <c r="C1974" i="3"/>
  <c r="C1975" i="3"/>
  <c r="C1976" i="3"/>
  <c r="C1977" i="3"/>
  <c r="C1978" i="3"/>
  <c r="C1979" i="3"/>
  <c r="C1980" i="3"/>
  <c r="C1981" i="3"/>
  <c r="C1982" i="3"/>
  <c r="C1983" i="3"/>
  <c r="C1984" i="3"/>
  <c r="C1985" i="3"/>
  <c r="C1986" i="3"/>
  <c r="C1987" i="3"/>
  <c r="C1988" i="3"/>
  <c r="C1989" i="3"/>
  <c r="C1990" i="3"/>
  <c r="C1991" i="3"/>
  <c r="C1992" i="3"/>
  <c r="C1993" i="3"/>
  <c r="C1994" i="3"/>
  <c r="C1995" i="3"/>
  <c r="C1996" i="3"/>
  <c r="C1997" i="3"/>
  <c r="C1998" i="3"/>
  <c r="C1999" i="3"/>
  <c r="C2000" i="3"/>
  <c r="C2001" i="3"/>
  <c r="C2002" i="3"/>
  <c r="C2003" i="3"/>
  <c r="C2004" i="3"/>
  <c r="C2005" i="3"/>
  <c r="C2006" i="3"/>
  <c r="C2007" i="3"/>
  <c r="C2008" i="3"/>
  <c r="C2009" i="3"/>
  <c r="C2010" i="3"/>
  <c r="C2011" i="3"/>
  <c r="C2012" i="3"/>
  <c r="C2013" i="3"/>
  <c r="C2014" i="3"/>
  <c r="C2015" i="3"/>
  <c r="C2016" i="3"/>
  <c r="C2017" i="3"/>
  <c r="C2018" i="3"/>
  <c r="C2019" i="3"/>
  <c r="C2020" i="3"/>
  <c r="C2021" i="3"/>
  <c r="C2022" i="3"/>
  <c r="C2023" i="3"/>
  <c r="C2024" i="3"/>
  <c r="C2025" i="3"/>
  <c r="C2026" i="3"/>
  <c r="C2027" i="3"/>
  <c r="C2028" i="3"/>
  <c r="C2029" i="3"/>
  <c r="C2030" i="3"/>
  <c r="C2031" i="3"/>
  <c r="C2032" i="3"/>
  <c r="C2033" i="3"/>
  <c r="C2034" i="3"/>
  <c r="C2035" i="3"/>
  <c r="C2036" i="3"/>
  <c r="C2037" i="3"/>
  <c r="C2038" i="3"/>
  <c r="C2039" i="3"/>
  <c r="C2040" i="3"/>
  <c r="C2041" i="3"/>
  <c r="C2042" i="3"/>
  <c r="C2043" i="3"/>
  <c r="C2044" i="3"/>
  <c r="C2045" i="3"/>
  <c r="C2046" i="3"/>
  <c r="C2047" i="3"/>
  <c r="C2048" i="3"/>
  <c r="C2049" i="3"/>
  <c r="C2050" i="3"/>
  <c r="C2051" i="3"/>
  <c r="C2052" i="3"/>
  <c r="C2053" i="3"/>
  <c r="C2054" i="3"/>
  <c r="C2055" i="3"/>
  <c r="C2056" i="3"/>
  <c r="C2057" i="3"/>
  <c r="C2058" i="3"/>
  <c r="C2059" i="3"/>
  <c r="C2060" i="3"/>
  <c r="C2061" i="3"/>
  <c r="C2062" i="3"/>
  <c r="C2063" i="3"/>
  <c r="C2064" i="3"/>
  <c r="C2065" i="3"/>
  <c r="C2066" i="3"/>
  <c r="C2067" i="3"/>
  <c r="C2068" i="3"/>
  <c r="C2069" i="3"/>
  <c r="C2070" i="3"/>
  <c r="C2071" i="3"/>
  <c r="C2072" i="3"/>
  <c r="C2073" i="3"/>
  <c r="C2074" i="3"/>
  <c r="C2075" i="3"/>
  <c r="C2076" i="3"/>
  <c r="C2077" i="3"/>
  <c r="C2078" i="3"/>
  <c r="C2079" i="3"/>
  <c r="C2080" i="3"/>
  <c r="C2081" i="3"/>
  <c r="C2082" i="3"/>
  <c r="C2083" i="3"/>
  <c r="C2084" i="3"/>
  <c r="C2085" i="3"/>
  <c r="C2086" i="3"/>
  <c r="C2087" i="3"/>
  <c r="C2088" i="3"/>
  <c r="C2089" i="3"/>
  <c r="C2090" i="3"/>
  <c r="C2091" i="3"/>
  <c r="C2092" i="3"/>
  <c r="C2093" i="3"/>
  <c r="C2094" i="3"/>
  <c r="C2095" i="3"/>
  <c r="C2096" i="3"/>
  <c r="C2097" i="3"/>
  <c r="C2098" i="3"/>
  <c r="C2099" i="3"/>
  <c r="C2100" i="3"/>
  <c r="C2101" i="3"/>
  <c r="C2102" i="3"/>
  <c r="C2103" i="3"/>
  <c r="C2104" i="3"/>
  <c r="C2105" i="3"/>
  <c r="C2106" i="3"/>
  <c r="C2107" i="3"/>
  <c r="C2108" i="3"/>
  <c r="C2109" i="3"/>
  <c r="C2110" i="3"/>
  <c r="C2111" i="3"/>
  <c r="C2112" i="3"/>
  <c r="C2113" i="3"/>
  <c r="C2114" i="3"/>
  <c r="C2115" i="3"/>
  <c r="C2116" i="3"/>
  <c r="C2117" i="3"/>
  <c r="C2118" i="3"/>
  <c r="C2119" i="3"/>
  <c r="C2120" i="3"/>
  <c r="C2121" i="3"/>
  <c r="C2122" i="3"/>
  <c r="C2123" i="3"/>
  <c r="C2124" i="3"/>
  <c r="C2125" i="3"/>
  <c r="C2126" i="3"/>
  <c r="C2127" i="3"/>
  <c r="C2128" i="3"/>
  <c r="C2129" i="3"/>
  <c r="C2130" i="3"/>
  <c r="C2131" i="3"/>
  <c r="C2132" i="3"/>
  <c r="C2133" i="3"/>
  <c r="C2134" i="3"/>
  <c r="C2135" i="3"/>
  <c r="C2136" i="3"/>
  <c r="C2137" i="3"/>
  <c r="C2138" i="3"/>
  <c r="C2139" i="3"/>
  <c r="C2140" i="3"/>
  <c r="C2141" i="3"/>
  <c r="C2142" i="3"/>
  <c r="C2143" i="3"/>
  <c r="C2144" i="3"/>
  <c r="C2145" i="3"/>
  <c r="C2146" i="3"/>
  <c r="C2147" i="3"/>
  <c r="C2148" i="3"/>
  <c r="C2149" i="3"/>
  <c r="C2150" i="3"/>
  <c r="C2151" i="3"/>
  <c r="C2152" i="3"/>
  <c r="C2153" i="3"/>
  <c r="C2154" i="3"/>
  <c r="C2155" i="3"/>
  <c r="C2156" i="3"/>
  <c r="C2157" i="3"/>
  <c r="C2158" i="3"/>
  <c r="C2159" i="3"/>
  <c r="C2160" i="3"/>
  <c r="C2161" i="3"/>
  <c r="C2162" i="3"/>
  <c r="C2163" i="3"/>
  <c r="C2164" i="3"/>
  <c r="C2165" i="3"/>
  <c r="C2166" i="3"/>
  <c r="C2167" i="3"/>
  <c r="C2168" i="3"/>
  <c r="C2169" i="3"/>
  <c r="C2170" i="3"/>
  <c r="C2171" i="3"/>
  <c r="C2172" i="3"/>
  <c r="C2173" i="3"/>
  <c r="C2174" i="3"/>
  <c r="C2175" i="3"/>
  <c r="C2176" i="3"/>
  <c r="C2177" i="3"/>
  <c r="C2178" i="3"/>
  <c r="C2179" i="3"/>
  <c r="C2180" i="3"/>
  <c r="C2181" i="3"/>
  <c r="C2182" i="3"/>
  <c r="C2183" i="3"/>
  <c r="C2184" i="3"/>
  <c r="C2185" i="3"/>
  <c r="C2186" i="3"/>
  <c r="C2187" i="3"/>
  <c r="C2188" i="3"/>
  <c r="C2189" i="3"/>
  <c r="C2190" i="3"/>
  <c r="C2191" i="3"/>
  <c r="C2192" i="3"/>
  <c r="C2193" i="3"/>
  <c r="C2194" i="3"/>
  <c r="C2195" i="3"/>
  <c r="C2196" i="3"/>
  <c r="C2197" i="3"/>
  <c r="C2198" i="3"/>
  <c r="C2199" i="3"/>
  <c r="C2200" i="3"/>
  <c r="C2201" i="3"/>
  <c r="C2202" i="3"/>
  <c r="C2203" i="3"/>
  <c r="C2204" i="3"/>
  <c r="C2205" i="3"/>
  <c r="C2206" i="3"/>
  <c r="C2207" i="3"/>
  <c r="C2208" i="3"/>
  <c r="C2209" i="3"/>
  <c r="C2210" i="3"/>
  <c r="C2211" i="3"/>
  <c r="C2212" i="3"/>
  <c r="C2213" i="3"/>
  <c r="C2214" i="3"/>
  <c r="C2215" i="3"/>
  <c r="C2216" i="3"/>
  <c r="C2217" i="3"/>
  <c r="C2218" i="3"/>
  <c r="C2219" i="3"/>
  <c r="C2220" i="3"/>
  <c r="C2221" i="3"/>
  <c r="C2222" i="3"/>
  <c r="C2223" i="3"/>
  <c r="C2224" i="3"/>
  <c r="C2225" i="3"/>
  <c r="C2226" i="3"/>
  <c r="C2227" i="3"/>
  <c r="C2228" i="3"/>
  <c r="C2229" i="3"/>
  <c r="C2230" i="3"/>
  <c r="C2231" i="3"/>
  <c r="C2232" i="3"/>
  <c r="C2233" i="3"/>
  <c r="C2234" i="3"/>
  <c r="C2235" i="3"/>
  <c r="C2236" i="3"/>
  <c r="C2237" i="3"/>
  <c r="C2238" i="3"/>
  <c r="C2239" i="3"/>
  <c r="C2240" i="3"/>
  <c r="C2241" i="3"/>
  <c r="C2242" i="3"/>
  <c r="C2243" i="3"/>
  <c r="C2244" i="3"/>
  <c r="C2245" i="3"/>
  <c r="C2246" i="3"/>
  <c r="C2247" i="3"/>
  <c r="C2248" i="3"/>
  <c r="C2249" i="3"/>
  <c r="C2250" i="3"/>
  <c r="C2251" i="3"/>
  <c r="C2252" i="3"/>
  <c r="C2253" i="3"/>
  <c r="C2254" i="3"/>
  <c r="C2255" i="3"/>
  <c r="C2256" i="3"/>
  <c r="C2257" i="3"/>
  <c r="C2258" i="3"/>
  <c r="C2259" i="3"/>
  <c r="C2260" i="3"/>
  <c r="C2261" i="3"/>
  <c r="C2262" i="3"/>
  <c r="C2263" i="3"/>
  <c r="C2264" i="3"/>
  <c r="C2265" i="3"/>
  <c r="C2266" i="3"/>
  <c r="C2267" i="3"/>
  <c r="C2268" i="3"/>
  <c r="C2269" i="3"/>
  <c r="C2270" i="3"/>
  <c r="C2271" i="3"/>
  <c r="C2272" i="3"/>
  <c r="C2273" i="3"/>
  <c r="C2274" i="3"/>
  <c r="C2275" i="3"/>
  <c r="C2276" i="3"/>
  <c r="C2277" i="3"/>
  <c r="C2278" i="3"/>
  <c r="C2279" i="3"/>
  <c r="C2280" i="3"/>
  <c r="C2281" i="3"/>
  <c r="C2282" i="3"/>
  <c r="C2283" i="3"/>
  <c r="C2284" i="3"/>
  <c r="C2285" i="3"/>
  <c r="C2286" i="3"/>
  <c r="C2287" i="3"/>
  <c r="C2288" i="3"/>
  <c r="C2289" i="3"/>
  <c r="C2290" i="3"/>
  <c r="C2291" i="3"/>
  <c r="C2292" i="3"/>
  <c r="C2293" i="3"/>
  <c r="C2294" i="3"/>
  <c r="C2295" i="3"/>
  <c r="C2296" i="3"/>
  <c r="C2297" i="3"/>
  <c r="C2298" i="3"/>
  <c r="C2299" i="3"/>
  <c r="C2300" i="3"/>
  <c r="C2301" i="3"/>
  <c r="C2302" i="3"/>
  <c r="C2303" i="3"/>
  <c r="C2304" i="3"/>
  <c r="C2305" i="3"/>
  <c r="C2306" i="3"/>
  <c r="C2307" i="3"/>
  <c r="C2308" i="3"/>
  <c r="C2309" i="3"/>
  <c r="C2310" i="3"/>
  <c r="C2311" i="3"/>
  <c r="C2312" i="3"/>
  <c r="C2313" i="3"/>
  <c r="C2314" i="3"/>
  <c r="C2315" i="3"/>
  <c r="C2316" i="3"/>
  <c r="C2317" i="3"/>
  <c r="C2318" i="3"/>
  <c r="C2319" i="3"/>
  <c r="C2320" i="3"/>
  <c r="C2321" i="3"/>
  <c r="C2322" i="3"/>
  <c r="C2323" i="3"/>
  <c r="C2324" i="3"/>
  <c r="C2325" i="3"/>
  <c r="C2326" i="3"/>
  <c r="C2327" i="3"/>
  <c r="C2328" i="3"/>
  <c r="C2329" i="3"/>
  <c r="C2330" i="3"/>
  <c r="C2331" i="3"/>
  <c r="C2332" i="3"/>
  <c r="C2333" i="3"/>
  <c r="C2334" i="3"/>
  <c r="C2335" i="3"/>
  <c r="C2336" i="3"/>
  <c r="C2337" i="3"/>
  <c r="C2338" i="3"/>
  <c r="C2339" i="3"/>
  <c r="C2340" i="3"/>
  <c r="C2341" i="3"/>
  <c r="C2342" i="3"/>
  <c r="C2343" i="3"/>
  <c r="C2344" i="3"/>
  <c r="C2345" i="3"/>
  <c r="C2346" i="3"/>
  <c r="C2347" i="3"/>
  <c r="C2348" i="3"/>
  <c r="C2349" i="3"/>
  <c r="C2350" i="3"/>
  <c r="C2351" i="3"/>
  <c r="C2352" i="3"/>
  <c r="C2353" i="3"/>
  <c r="C2354" i="3"/>
  <c r="C2355" i="3"/>
  <c r="C2356" i="3"/>
  <c r="C2357" i="3"/>
  <c r="C2358" i="3"/>
  <c r="C2359" i="3"/>
  <c r="C2360" i="3"/>
  <c r="C2361" i="3"/>
  <c r="C2362" i="3"/>
  <c r="C2363" i="3"/>
  <c r="C2364" i="3"/>
  <c r="C2365" i="3"/>
  <c r="C2366" i="3"/>
  <c r="C2367" i="3"/>
  <c r="C2368" i="3"/>
  <c r="C2369" i="3"/>
  <c r="C2370" i="3"/>
  <c r="C2371" i="3"/>
  <c r="C2372" i="3"/>
  <c r="C2373" i="3"/>
  <c r="C2374" i="3"/>
  <c r="C2375" i="3"/>
  <c r="C2376" i="3"/>
  <c r="C2377" i="3"/>
  <c r="C2378" i="3"/>
  <c r="C2379" i="3"/>
  <c r="C2380" i="3"/>
  <c r="C2381" i="3"/>
  <c r="C2382" i="3"/>
  <c r="C2383" i="3"/>
  <c r="C2384" i="3"/>
  <c r="C2385" i="3"/>
  <c r="C2386" i="3"/>
  <c r="C2387" i="3"/>
  <c r="C2388" i="3"/>
  <c r="C2389" i="3"/>
  <c r="C2390" i="3"/>
  <c r="C2391" i="3"/>
  <c r="C2392" i="3"/>
  <c r="C2393" i="3"/>
  <c r="C2394" i="3"/>
  <c r="C2395" i="3"/>
  <c r="C2396" i="3"/>
  <c r="C2397" i="3"/>
  <c r="C2398" i="3"/>
  <c r="C2399" i="3"/>
  <c r="C2400" i="3"/>
  <c r="C2401" i="3"/>
  <c r="C2402" i="3"/>
  <c r="C2403" i="3"/>
  <c r="C2404" i="3"/>
  <c r="C2405" i="3"/>
  <c r="C2406" i="3"/>
  <c r="C2407" i="3"/>
  <c r="C2408" i="3"/>
  <c r="C2409" i="3"/>
  <c r="C2410" i="3"/>
  <c r="C2411" i="3"/>
  <c r="C2412" i="3"/>
  <c r="C2413" i="3"/>
  <c r="C2414" i="3"/>
  <c r="C2415" i="3"/>
  <c r="C2416" i="3"/>
  <c r="C2417" i="3"/>
  <c r="C2418" i="3"/>
  <c r="C2419" i="3"/>
  <c r="C2420" i="3"/>
  <c r="C2421" i="3"/>
  <c r="C2422" i="3"/>
  <c r="C2423" i="3"/>
  <c r="C2424" i="3"/>
  <c r="C2425" i="3"/>
  <c r="C2426" i="3"/>
  <c r="C2427" i="3"/>
  <c r="C2428" i="3"/>
  <c r="C2429" i="3"/>
  <c r="C2430" i="3"/>
  <c r="C2431" i="3"/>
  <c r="C2432" i="3"/>
  <c r="C2433" i="3"/>
  <c r="C2434" i="3"/>
  <c r="C2435" i="3"/>
  <c r="C2436" i="3"/>
  <c r="C2437" i="3"/>
  <c r="C2438" i="3"/>
  <c r="C2439" i="3"/>
  <c r="C2440" i="3"/>
  <c r="C2441" i="3"/>
  <c r="C2442" i="3"/>
  <c r="C2443" i="3"/>
  <c r="C2444" i="3"/>
  <c r="C2445" i="3"/>
  <c r="C2446" i="3"/>
  <c r="C2447" i="3"/>
  <c r="C2448" i="3"/>
  <c r="C2449" i="3"/>
  <c r="C2450" i="3"/>
  <c r="C2451" i="3"/>
  <c r="C2452" i="3"/>
  <c r="C2453" i="3"/>
  <c r="C2454" i="3"/>
  <c r="C2455" i="3"/>
  <c r="C2456" i="3"/>
  <c r="C2457" i="3"/>
  <c r="C2458" i="3"/>
  <c r="C2459" i="3"/>
  <c r="C2460" i="3"/>
  <c r="C2461" i="3"/>
  <c r="C2462" i="3"/>
  <c r="C2463" i="3"/>
  <c r="C2464" i="3"/>
  <c r="C2465" i="3"/>
  <c r="C2466" i="3"/>
  <c r="C2467" i="3"/>
  <c r="C2468" i="3"/>
  <c r="C2469" i="3"/>
  <c r="C2470" i="3"/>
  <c r="C2471" i="3"/>
  <c r="C2472" i="3"/>
  <c r="C2473" i="3"/>
  <c r="C2474" i="3"/>
  <c r="C2475" i="3"/>
  <c r="C2476" i="3"/>
  <c r="C2477" i="3"/>
  <c r="C2478" i="3"/>
  <c r="C2479" i="3"/>
  <c r="C2480" i="3"/>
  <c r="C2481" i="3"/>
  <c r="C2482" i="3"/>
  <c r="C2483" i="3"/>
  <c r="C2484" i="3"/>
  <c r="C2485" i="3"/>
  <c r="C2486" i="3"/>
  <c r="C2487" i="3"/>
  <c r="C2488" i="3"/>
  <c r="C2489" i="3"/>
  <c r="C2490" i="3"/>
  <c r="C2491" i="3"/>
  <c r="C2492" i="3"/>
  <c r="C2493" i="3"/>
  <c r="C2494" i="3"/>
  <c r="C2495" i="3"/>
  <c r="C2496" i="3"/>
  <c r="C2497" i="3"/>
  <c r="C2498" i="3"/>
  <c r="C2499" i="3"/>
  <c r="C2500" i="3"/>
  <c r="C2501" i="3"/>
  <c r="C2502" i="3"/>
  <c r="C2503" i="3"/>
  <c r="C2504" i="3"/>
  <c r="C2505" i="3"/>
  <c r="C2506" i="3"/>
  <c r="C2507" i="3"/>
  <c r="C2508" i="3"/>
  <c r="C2509" i="3"/>
  <c r="C2510" i="3"/>
  <c r="C2511" i="3"/>
  <c r="C2512" i="3"/>
  <c r="C2513" i="3"/>
  <c r="C2514" i="3"/>
  <c r="C2515" i="3"/>
  <c r="C2516" i="3"/>
  <c r="C2517" i="3"/>
  <c r="C2518" i="3"/>
  <c r="C2519" i="3"/>
  <c r="C2520" i="3"/>
  <c r="C2521" i="3"/>
  <c r="C2522" i="3"/>
  <c r="C2523" i="3"/>
  <c r="C2524" i="3"/>
  <c r="C2525" i="3"/>
  <c r="C2526" i="3"/>
  <c r="C2527" i="3"/>
  <c r="C2528" i="3"/>
  <c r="C2529" i="3"/>
  <c r="C2530" i="3"/>
  <c r="C2531" i="3"/>
  <c r="C2532" i="3"/>
  <c r="C2533" i="3"/>
  <c r="C2534" i="3"/>
  <c r="C2535" i="3"/>
  <c r="C2536" i="3"/>
  <c r="C2537" i="3"/>
  <c r="C2538" i="3"/>
  <c r="C2539" i="3"/>
  <c r="C2540" i="3"/>
  <c r="C2541" i="3"/>
  <c r="C2542" i="3"/>
  <c r="C2543" i="3"/>
  <c r="C2544" i="3"/>
  <c r="C2545" i="3"/>
  <c r="C2546" i="3"/>
  <c r="C2547" i="3"/>
  <c r="C2548" i="3"/>
  <c r="C2549" i="3"/>
  <c r="C2550" i="3"/>
  <c r="C2551" i="3"/>
  <c r="C2552" i="3"/>
  <c r="C2553" i="3"/>
  <c r="C2554" i="3"/>
  <c r="C2555" i="3"/>
  <c r="C2556" i="3"/>
  <c r="C2557" i="3"/>
  <c r="C2558" i="3"/>
  <c r="C2559" i="3"/>
  <c r="C2560" i="3"/>
  <c r="C2561" i="3"/>
  <c r="C2562" i="3"/>
  <c r="C2563" i="3"/>
  <c r="C2564" i="3"/>
  <c r="C2565" i="3"/>
  <c r="C2566" i="3"/>
  <c r="C2567" i="3"/>
  <c r="C2568" i="3"/>
  <c r="C2569" i="3"/>
  <c r="C2570" i="3"/>
  <c r="C2571" i="3"/>
  <c r="C2572" i="3"/>
  <c r="C2573" i="3"/>
  <c r="C2574" i="3"/>
  <c r="C2575" i="3"/>
  <c r="C2576" i="3"/>
  <c r="C2577" i="3"/>
  <c r="C2578" i="3"/>
  <c r="C2579" i="3"/>
  <c r="C2580" i="3"/>
  <c r="C2581" i="3"/>
  <c r="C2582" i="3"/>
  <c r="C2583" i="3"/>
  <c r="C2584" i="3"/>
  <c r="C2585" i="3"/>
  <c r="C2586" i="3"/>
  <c r="C2587" i="3"/>
  <c r="C2588" i="3"/>
  <c r="C2589" i="3"/>
  <c r="C2590" i="3"/>
  <c r="C2591" i="3"/>
  <c r="C2592" i="3"/>
  <c r="C2593" i="3"/>
  <c r="C2594" i="3"/>
  <c r="C2595" i="3"/>
  <c r="C2596" i="3"/>
  <c r="C2597" i="3"/>
  <c r="C2598" i="3"/>
  <c r="C2599" i="3"/>
  <c r="C2600" i="3"/>
  <c r="C2601" i="3"/>
  <c r="C2602" i="3"/>
  <c r="C2603" i="3"/>
  <c r="C2604" i="3"/>
  <c r="C2605" i="3"/>
  <c r="C2606" i="3"/>
  <c r="C2607" i="3"/>
  <c r="C2608" i="3"/>
  <c r="C2609" i="3"/>
  <c r="C2610" i="3"/>
  <c r="C2611" i="3"/>
  <c r="C2612" i="3"/>
  <c r="C2613" i="3"/>
  <c r="C2614" i="3"/>
  <c r="C2615" i="3"/>
  <c r="C2616" i="3"/>
  <c r="C2617" i="3"/>
  <c r="C2618" i="3"/>
  <c r="C2619" i="3"/>
  <c r="C2620" i="3"/>
  <c r="C2621" i="3"/>
  <c r="C2622" i="3"/>
  <c r="C2623" i="3"/>
  <c r="C2624" i="3"/>
  <c r="C2625" i="3"/>
  <c r="C2626" i="3"/>
  <c r="C2627" i="3"/>
  <c r="C2628" i="3"/>
  <c r="C2629" i="3"/>
  <c r="C2630" i="3"/>
  <c r="C2631" i="3"/>
  <c r="C2632" i="3"/>
  <c r="C2633" i="3"/>
  <c r="C2634" i="3"/>
  <c r="C2635" i="3"/>
  <c r="C2636" i="3"/>
  <c r="C2637" i="3"/>
  <c r="C2638" i="3"/>
  <c r="C2639" i="3"/>
  <c r="C2640" i="3"/>
  <c r="C2641" i="3"/>
  <c r="C2642" i="3"/>
  <c r="C2643" i="3"/>
  <c r="C2644" i="3"/>
  <c r="C2645" i="3"/>
  <c r="C2646" i="3"/>
  <c r="C2647" i="3"/>
  <c r="C2648" i="3"/>
  <c r="C2649" i="3"/>
  <c r="C2650" i="3"/>
  <c r="C2651" i="3"/>
  <c r="C2652" i="3"/>
  <c r="C2653" i="3"/>
  <c r="C2654" i="3"/>
  <c r="C2655" i="3"/>
  <c r="C2656" i="3"/>
  <c r="C2657" i="3"/>
  <c r="C2658" i="3"/>
  <c r="C2659" i="3"/>
  <c r="C2660" i="3"/>
  <c r="C2661" i="3"/>
  <c r="C2662" i="3"/>
  <c r="C2663" i="3"/>
  <c r="C2664" i="3"/>
  <c r="C2665" i="3"/>
  <c r="C2666" i="3"/>
  <c r="C2667" i="3"/>
  <c r="C2668" i="3"/>
  <c r="C2669" i="3"/>
  <c r="C2670" i="3"/>
  <c r="C2671" i="3"/>
  <c r="C2672" i="3"/>
  <c r="C2673" i="3"/>
  <c r="C2674" i="3"/>
  <c r="C2675" i="3"/>
  <c r="C2676" i="3"/>
  <c r="C2677" i="3"/>
  <c r="C2678" i="3"/>
  <c r="C2679" i="3"/>
  <c r="C2680" i="3"/>
  <c r="C2681" i="3"/>
  <c r="C2682" i="3"/>
  <c r="C2683" i="3"/>
  <c r="C2684" i="3"/>
  <c r="C2685" i="3"/>
  <c r="C2686" i="3"/>
  <c r="C2687" i="3"/>
  <c r="C2688" i="3"/>
  <c r="C2689" i="3"/>
  <c r="C2690" i="3"/>
  <c r="C2691" i="3"/>
  <c r="C2692" i="3"/>
  <c r="C2693" i="3"/>
  <c r="C2694" i="3"/>
  <c r="C2695" i="3"/>
  <c r="C2696" i="3"/>
  <c r="C2697" i="3"/>
  <c r="C2698" i="3"/>
  <c r="C2699" i="3"/>
  <c r="C2700" i="3"/>
  <c r="C2701" i="3"/>
  <c r="C2702" i="3"/>
  <c r="C2703" i="3"/>
  <c r="C2704" i="3"/>
  <c r="C2705" i="3"/>
  <c r="C2706" i="3"/>
  <c r="C2707" i="3"/>
  <c r="C2708" i="3"/>
  <c r="C2709" i="3"/>
  <c r="C2710" i="3"/>
  <c r="C2711" i="3"/>
  <c r="C2712" i="3"/>
  <c r="C2713" i="3"/>
  <c r="C2714" i="3"/>
  <c r="C2715" i="3"/>
  <c r="C2716" i="3"/>
  <c r="C2717" i="3"/>
  <c r="C2718" i="3"/>
  <c r="C2719" i="3"/>
  <c r="C2720" i="3"/>
  <c r="C2721" i="3"/>
  <c r="C2722" i="3"/>
  <c r="C2723" i="3"/>
  <c r="C2724" i="3"/>
  <c r="C2725" i="3"/>
  <c r="C2726" i="3"/>
  <c r="C2727" i="3"/>
  <c r="C2728" i="3"/>
  <c r="C2729" i="3"/>
  <c r="C2730" i="3"/>
  <c r="C2731" i="3"/>
  <c r="C2732" i="3"/>
  <c r="C2733" i="3"/>
  <c r="C2734" i="3"/>
  <c r="C2735" i="3"/>
  <c r="C2736" i="3"/>
  <c r="C2737" i="3"/>
  <c r="C2738" i="3"/>
  <c r="C2739" i="3"/>
  <c r="C2740" i="3"/>
  <c r="C2741" i="3"/>
  <c r="C2742" i="3"/>
  <c r="C2743" i="3"/>
  <c r="C2744" i="3"/>
  <c r="C2745" i="3"/>
  <c r="C2746" i="3"/>
  <c r="C2747" i="3"/>
  <c r="C2748" i="3"/>
  <c r="C2749" i="3"/>
  <c r="C2750" i="3"/>
  <c r="C2751" i="3"/>
  <c r="C2752" i="3"/>
  <c r="C2753" i="3"/>
  <c r="C2754" i="3"/>
  <c r="C2755" i="3"/>
  <c r="C2756" i="3"/>
  <c r="C2757" i="3"/>
  <c r="C2758" i="3"/>
  <c r="C2759" i="3"/>
  <c r="C2760" i="3"/>
  <c r="C2761" i="3"/>
  <c r="C2762" i="3"/>
  <c r="C2763" i="3"/>
  <c r="C2764" i="3"/>
  <c r="C2765" i="3"/>
  <c r="C2766" i="3"/>
  <c r="C2767" i="3"/>
  <c r="C2768" i="3"/>
  <c r="C2769" i="3"/>
  <c r="C2770" i="3"/>
  <c r="C2771" i="3"/>
  <c r="C2772" i="3"/>
  <c r="C2773" i="3"/>
  <c r="C2774" i="3"/>
  <c r="C2775" i="3"/>
  <c r="C2776" i="3"/>
  <c r="C2777" i="3"/>
  <c r="C2778" i="3"/>
  <c r="C2779" i="3"/>
  <c r="C2780" i="3"/>
  <c r="C2781" i="3"/>
  <c r="C2782" i="3"/>
  <c r="C2783" i="3"/>
  <c r="C2784" i="3"/>
  <c r="C2785" i="3"/>
  <c r="C2786" i="3"/>
  <c r="C2787" i="3"/>
  <c r="C2788" i="3"/>
  <c r="C2789" i="3"/>
  <c r="C2790" i="3"/>
  <c r="C2791" i="3"/>
  <c r="C2792" i="3"/>
  <c r="C2793" i="3"/>
  <c r="C2794" i="3"/>
  <c r="C2795" i="3"/>
  <c r="C2796" i="3"/>
  <c r="C2797" i="3"/>
  <c r="C2798" i="3"/>
  <c r="C2799" i="3"/>
  <c r="C2800" i="3"/>
  <c r="C2801" i="3"/>
  <c r="C2802" i="3"/>
  <c r="C2803" i="3"/>
  <c r="C2804" i="3"/>
  <c r="C2805" i="3"/>
  <c r="C2806" i="3"/>
  <c r="C2807" i="3"/>
  <c r="C2808" i="3"/>
  <c r="C2809" i="3"/>
  <c r="C2810" i="3"/>
  <c r="C2811" i="3"/>
  <c r="C2812" i="3"/>
  <c r="C2813" i="3"/>
  <c r="C2814" i="3"/>
  <c r="C2815" i="3"/>
  <c r="C2816" i="3"/>
  <c r="C2817" i="3"/>
  <c r="C2818" i="3"/>
  <c r="C2819" i="3"/>
  <c r="C2820" i="3"/>
  <c r="C2821" i="3"/>
  <c r="C2822" i="3"/>
  <c r="C2823" i="3"/>
  <c r="C2824" i="3"/>
  <c r="C2825" i="3"/>
  <c r="C2826" i="3"/>
  <c r="C2827" i="3"/>
  <c r="C2828" i="3"/>
  <c r="C2829" i="3"/>
  <c r="C2830" i="3"/>
  <c r="C2831" i="3"/>
  <c r="C2832" i="3"/>
  <c r="C2833" i="3"/>
  <c r="C2834" i="3"/>
  <c r="C2835" i="3"/>
  <c r="C2836" i="3"/>
  <c r="C2837" i="3"/>
  <c r="C2838" i="3"/>
  <c r="C2839" i="3"/>
  <c r="C2840" i="3"/>
  <c r="C2841" i="3"/>
  <c r="C2842" i="3"/>
  <c r="C2843" i="3"/>
  <c r="C2844" i="3"/>
  <c r="C2845" i="3"/>
  <c r="C2846" i="3"/>
  <c r="C2847" i="3"/>
  <c r="C2848" i="3"/>
  <c r="C2849" i="3"/>
  <c r="C2850" i="3"/>
  <c r="C2851" i="3"/>
  <c r="C2852" i="3"/>
  <c r="C2853" i="3"/>
  <c r="C2854" i="3"/>
  <c r="C2855" i="3"/>
  <c r="C2856" i="3"/>
  <c r="C2857" i="3"/>
  <c r="C2858" i="3"/>
  <c r="C2859" i="3"/>
  <c r="C2860" i="3"/>
  <c r="C2861" i="3"/>
  <c r="C2862" i="3"/>
  <c r="C2863" i="3"/>
  <c r="C2864" i="3"/>
  <c r="C2865" i="3"/>
  <c r="C2866" i="3"/>
  <c r="C2867" i="3"/>
  <c r="C2868" i="3"/>
  <c r="C2869" i="3"/>
  <c r="C2870" i="3"/>
  <c r="C2871" i="3"/>
  <c r="C2872" i="3"/>
  <c r="C2873" i="3"/>
  <c r="C2874" i="3"/>
  <c r="C2875" i="3"/>
  <c r="C2876" i="3"/>
  <c r="C2877" i="3"/>
  <c r="C2878" i="3"/>
  <c r="C2879" i="3"/>
  <c r="C2880" i="3"/>
  <c r="C2881" i="3"/>
  <c r="C2882" i="3"/>
  <c r="C2883" i="3"/>
  <c r="C2884" i="3"/>
  <c r="C2885" i="3"/>
  <c r="C2886" i="3"/>
  <c r="C2887" i="3"/>
  <c r="C2888" i="3"/>
  <c r="C2889" i="3"/>
  <c r="C2890" i="3"/>
  <c r="C2891" i="3"/>
  <c r="C2892" i="3"/>
  <c r="C2893" i="3"/>
  <c r="C2894" i="3"/>
  <c r="C2895" i="3"/>
  <c r="C2896" i="3"/>
  <c r="C2897" i="3"/>
  <c r="C2898" i="3"/>
  <c r="C2899" i="3"/>
  <c r="C2900" i="3"/>
  <c r="C2901" i="3"/>
  <c r="C2902" i="3"/>
  <c r="C2903" i="3"/>
  <c r="C2904" i="3"/>
  <c r="C2905" i="3"/>
  <c r="C2906" i="3"/>
  <c r="C2907" i="3"/>
  <c r="C2908" i="3"/>
  <c r="C2909" i="3"/>
  <c r="C2910" i="3"/>
  <c r="C2911" i="3"/>
  <c r="C2912" i="3"/>
  <c r="C2913" i="3"/>
  <c r="C2914" i="3"/>
  <c r="C2915" i="3"/>
  <c r="C2916" i="3"/>
  <c r="C2917" i="3"/>
  <c r="C2918" i="3"/>
  <c r="C2919" i="3"/>
  <c r="C2920" i="3"/>
  <c r="C2921" i="3"/>
  <c r="C2922" i="3"/>
  <c r="C2923" i="3"/>
  <c r="C2924" i="3"/>
  <c r="C2925" i="3"/>
  <c r="C2926" i="3"/>
  <c r="C2927" i="3"/>
  <c r="C2928" i="3"/>
  <c r="C2929" i="3"/>
  <c r="C2930" i="3"/>
  <c r="C2931" i="3"/>
  <c r="C2932" i="3"/>
  <c r="C2933" i="3"/>
  <c r="C2934" i="3"/>
  <c r="C2935" i="3"/>
  <c r="C2936" i="3"/>
  <c r="C2937" i="3"/>
  <c r="C2938" i="3"/>
  <c r="C2939" i="3"/>
  <c r="C2940" i="3"/>
  <c r="C2941" i="3"/>
  <c r="C2942" i="3"/>
  <c r="C2943" i="3"/>
  <c r="C2944" i="3"/>
  <c r="C2945" i="3"/>
  <c r="C2946" i="3"/>
  <c r="C2947" i="3"/>
  <c r="C2948" i="3"/>
  <c r="C2949" i="3"/>
  <c r="C2950" i="3"/>
  <c r="C2951" i="3"/>
  <c r="C2952" i="3"/>
  <c r="C2953" i="3"/>
  <c r="C2954" i="3"/>
  <c r="C2955" i="3"/>
  <c r="C2956" i="3"/>
  <c r="C2957" i="3"/>
  <c r="C2958" i="3"/>
  <c r="C2959" i="3"/>
  <c r="C2960" i="3"/>
  <c r="C2961" i="3"/>
  <c r="C2962" i="3"/>
  <c r="C2963" i="3"/>
  <c r="C2964" i="3"/>
  <c r="C2965" i="3"/>
  <c r="C2966" i="3"/>
  <c r="C2967" i="3"/>
  <c r="C2968" i="3"/>
  <c r="C2969" i="3"/>
  <c r="C2970" i="3"/>
  <c r="C2971" i="3"/>
  <c r="C2972" i="3"/>
  <c r="C2973" i="3"/>
  <c r="C2974" i="3"/>
  <c r="C2975" i="3"/>
  <c r="C2976" i="3"/>
  <c r="C2977" i="3"/>
  <c r="C2978" i="3"/>
  <c r="C2979" i="3"/>
  <c r="C2980" i="3"/>
  <c r="C2981" i="3"/>
  <c r="C2982" i="3"/>
  <c r="C2983" i="3"/>
  <c r="C2984" i="3"/>
  <c r="C2985" i="3"/>
  <c r="C2986" i="3"/>
  <c r="C2987" i="3"/>
  <c r="C2988" i="3"/>
  <c r="C2989" i="3"/>
  <c r="C2990" i="3"/>
  <c r="C2991" i="3"/>
  <c r="C2992" i="3"/>
  <c r="C2993" i="3"/>
  <c r="C2994" i="3"/>
  <c r="C2995" i="3"/>
  <c r="C2996" i="3"/>
  <c r="C2997" i="3"/>
  <c r="C2998" i="3"/>
  <c r="C2999" i="3"/>
  <c r="C3000" i="3"/>
  <c r="C3001" i="3"/>
  <c r="C3002" i="3"/>
  <c r="C3003" i="3"/>
  <c r="C3004" i="3"/>
  <c r="C3005" i="3"/>
  <c r="C3006" i="3"/>
  <c r="C3007" i="3"/>
  <c r="C3008" i="3"/>
  <c r="C3009" i="3"/>
  <c r="C3010" i="3"/>
  <c r="C3011" i="3"/>
  <c r="C3012" i="3"/>
  <c r="C3013" i="3"/>
  <c r="C3014" i="3"/>
  <c r="C3015" i="3"/>
  <c r="C3016" i="3"/>
  <c r="C3017" i="3"/>
  <c r="C3018" i="3"/>
  <c r="C3019" i="3"/>
  <c r="C3020" i="3"/>
  <c r="C3021" i="3"/>
  <c r="C3022" i="3"/>
  <c r="C3023" i="3"/>
  <c r="C3024" i="3"/>
  <c r="C3025" i="3"/>
  <c r="C3026" i="3"/>
  <c r="C3027" i="3"/>
  <c r="C3028" i="3"/>
  <c r="C3029" i="3"/>
  <c r="C3030" i="3"/>
  <c r="C3031" i="3"/>
  <c r="C3032" i="3"/>
  <c r="C3033" i="3"/>
  <c r="C3034" i="3"/>
  <c r="C3035" i="3"/>
  <c r="C3036" i="3"/>
  <c r="C3037" i="3"/>
  <c r="C3038" i="3"/>
  <c r="C3039" i="3"/>
  <c r="C3040" i="3"/>
  <c r="C3041" i="3"/>
  <c r="C3042" i="3"/>
  <c r="C3043" i="3"/>
  <c r="C3044" i="3"/>
  <c r="C3045" i="3"/>
  <c r="C3046" i="3"/>
  <c r="C3047" i="3"/>
  <c r="C3048" i="3"/>
  <c r="C3049" i="3"/>
  <c r="C3050" i="3"/>
  <c r="C3051" i="3"/>
  <c r="C3052" i="3"/>
  <c r="C3053" i="3"/>
  <c r="C3054" i="3"/>
  <c r="C3055" i="3"/>
  <c r="C3056" i="3"/>
  <c r="C3057" i="3"/>
  <c r="C3058" i="3"/>
  <c r="C3059" i="3"/>
  <c r="C3060" i="3"/>
  <c r="C3061" i="3"/>
  <c r="C3062" i="3"/>
  <c r="C3063" i="3"/>
  <c r="C3064" i="3"/>
  <c r="C3065" i="3"/>
  <c r="C3066" i="3"/>
  <c r="C3067" i="3"/>
  <c r="C3068" i="3"/>
  <c r="C3069" i="3"/>
  <c r="C3070" i="3"/>
  <c r="C3071" i="3"/>
  <c r="C3072" i="3"/>
  <c r="C3073" i="3"/>
  <c r="C3074" i="3"/>
  <c r="C3075" i="3"/>
  <c r="C3076" i="3"/>
  <c r="C3077" i="3"/>
  <c r="C3078" i="3"/>
  <c r="C3079" i="3"/>
  <c r="C3080" i="3"/>
  <c r="C3081" i="3"/>
  <c r="C3082" i="3"/>
  <c r="C3083" i="3"/>
  <c r="C3084" i="3"/>
  <c r="C3085" i="3"/>
  <c r="C3086" i="3"/>
  <c r="C3087" i="3"/>
  <c r="C3088" i="3"/>
  <c r="C3089" i="3"/>
  <c r="C3090" i="3"/>
  <c r="C3091" i="3"/>
  <c r="C3092" i="3"/>
  <c r="C3093" i="3"/>
  <c r="C3094" i="3"/>
  <c r="C3095" i="3"/>
  <c r="C3096" i="3"/>
  <c r="C3097" i="3"/>
  <c r="C3098" i="3"/>
  <c r="C3099" i="3"/>
  <c r="C3100" i="3"/>
  <c r="C3101" i="3"/>
  <c r="C3102" i="3"/>
  <c r="C3103" i="3"/>
  <c r="C3104" i="3"/>
  <c r="C3105" i="3"/>
  <c r="C3106" i="3"/>
  <c r="C3107" i="3"/>
  <c r="C3108" i="3"/>
  <c r="C3109" i="3"/>
  <c r="C3110" i="3"/>
  <c r="C3111" i="3"/>
  <c r="C3112" i="3"/>
  <c r="C3113" i="3"/>
  <c r="C3114" i="3"/>
  <c r="C3115" i="3"/>
  <c r="C3116" i="3"/>
  <c r="C3117" i="3"/>
  <c r="C3118" i="3"/>
  <c r="C3119" i="3"/>
  <c r="C3120" i="3"/>
  <c r="C3121" i="3"/>
  <c r="C3122" i="3"/>
  <c r="C3123" i="3"/>
  <c r="C3124" i="3"/>
  <c r="C3125" i="3"/>
  <c r="C3126" i="3"/>
  <c r="C3127" i="3"/>
  <c r="C3128" i="3"/>
  <c r="C3129" i="3"/>
  <c r="C3130" i="3"/>
  <c r="C3131" i="3"/>
  <c r="C3132" i="3"/>
  <c r="C3133" i="3"/>
  <c r="C3134" i="3"/>
  <c r="C3135" i="3"/>
  <c r="C3136" i="3"/>
  <c r="C3137" i="3"/>
  <c r="C3138" i="3"/>
  <c r="C3139" i="3"/>
  <c r="C3140" i="3"/>
  <c r="C3141" i="3"/>
  <c r="C3142" i="3"/>
  <c r="C3143" i="3"/>
  <c r="C3144" i="3"/>
  <c r="C3145" i="3"/>
  <c r="C3146" i="3"/>
  <c r="C3147" i="3"/>
  <c r="C3148" i="3"/>
  <c r="C3149" i="3"/>
  <c r="C3150" i="3"/>
  <c r="C3151" i="3"/>
  <c r="C3152" i="3"/>
  <c r="C3153" i="3"/>
  <c r="C3154" i="3"/>
  <c r="C3155" i="3"/>
  <c r="C3156" i="3"/>
  <c r="C3157" i="3"/>
  <c r="C3158" i="3"/>
  <c r="C3159" i="3"/>
  <c r="C3160" i="3"/>
  <c r="C3161" i="3"/>
  <c r="C3162" i="3"/>
  <c r="C3163" i="3"/>
  <c r="C3164" i="3"/>
  <c r="C3165" i="3"/>
  <c r="C3166" i="3"/>
  <c r="C3167" i="3"/>
  <c r="C3168" i="3"/>
  <c r="C3169" i="3"/>
  <c r="C3170" i="3"/>
  <c r="C3171" i="3"/>
  <c r="C3172" i="3"/>
  <c r="C3173" i="3"/>
  <c r="C3174" i="3"/>
  <c r="C3175" i="3"/>
  <c r="C3176" i="3"/>
  <c r="C3177" i="3"/>
  <c r="C3178" i="3"/>
  <c r="C3179" i="3"/>
  <c r="C3180" i="3"/>
  <c r="C3181" i="3"/>
  <c r="C3182" i="3"/>
  <c r="C3183" i="3"/>
  <c r="C3184" i="3"/>
  <c r="C3185" i="3"/>
  <c r="C3186" i="3"/>
  <c r="C3187" i="3"/>
  <c r="C3188" i="3"/>
  <c r="C3189" i="3"/>
  <c r="C3190" i="3"/>
  <c r="C3191" i="3"/>
  <c r="C3192" i="3"/>
  <c r="C3193" i="3"/>
  <c r="C3194" i="3"/>
  <c r="C3195" i="3"/>
  <c r="C3196" i="3"/>
  <c r="C3197" i="3"/>
  <c r="C3198" i="3"/>
  <c r="C3199" i="3"/>
  <c r="C3200" i="3"/>
  <c r="C3201" i="3"/>
  <c r="C3202" i="3"/>
  <c r="C3203" i="3"/>
  <c r="C3204" i="3"/>
  <c r="C3205" i="3"/>
  <c r="C3206" i="3"/>
  <c r="C3207" i="3"/>
  <c r="C3208" i="3"/>
  <c r="C3209" i="3"/>
  <c r="C3210" i="3"/>
  <c r="C3211" i="3"/>
  <c r="C3212" i="3"/>
  <c r="C3213" i="3"/>
  <c r="C3214" i="3"/>
  <c r="C3215" i="3"/>
  <c r="C3216" i="3"/>
  <c r="C3217" i="3"/>
  <c r="C3218" i="3"/>
  <c r="C3219" i="3"/>
  <c r="C3220" i="3"/>
  <c r="C3221" i="3"/>
  <c r="C3222" i="3"/>
  <c r="C3223" i="3"/>
  <c r="C3224" i="3"/>
  <c r="C3225" i="3"/>
  <c r="C3226" i="3"/>
  <c r="C3227" i="3"/>
  <c r="C3228" i="3"/>
  <c r="C3229" i="3"/>
  <c r="C3230" i="3"/>
  <c r="C3231" i="3"/>
  <c r="C3232" i="3"/>
  <c r="C3233" i="3"/>
  <c r="C3234" i="3"/>
  <c r="C3235" i="3"/>
  <c r="C3236" i="3"/>
  <c r="C3237" i="3"/>
  <c r="C3238" i="3"/>
  <c r="C3239" i="3"/>
  <c r="C3240" i="3"/>
  <c r="C3241" i="3"/>
  <c r="C3242" i="3"/>
  <c r="C3243" i="3"/>
  <c r="C3244" i="3"/>
  <c r="C3245" i="3"/>
  <c r="C3246" i="3"/>
  <c r="C3247" i="3"/>
  <c r="C3248" i="3"/>
  <c r="C3249" i="3"/>
  <c r="C3250" i="3"/>
  <c r="C3251" i="3"/>
  <c r="C3252" i="3"/>
  <c r="C3253" i="3"/>
  <c r="C3254" i="3"/>
  <c r="C3255" i="3"/>
  <c r="C3256" i="3"/>
  <c r="C3257" i="3"/>
  <c r="C3258" i="3"/>
  <c r="C3259" i="3"/>
  <c r="C3260" i="3"/>
  <c r="C3261" i="3"/>
  <c r="C3262" i="3"/>
  <c r="C3263" i="3"/>
  <c r="C3264" i="3"/>
  <c r="C3265" i="3"/>
  <c r="C3266" i="3"/>
  <c r="C3267" i="3"/>
  <c r="C3268" i="3"/>
  <c r="C3269" i="3"/>
  <c r="C3270" i="3"/>
  <c r="C3271" i="3"/>
  <c r="C3272" i="3"/>
  <c r="C3273" i="3"/>
  <c r="C3274" i="3"/>
  <c r="C3275" i="3"/>
  <c r="C3276" i="3"/>
  <c r="C3277" i="3"/>
  <c r="C3278" i="3"/>
  <c r="C3279" i="3"/>
  <c r="C3280" i="3"/>
  <c r="C3281" i="3"/>
  <c r="C3282" i="3"/>
  <c r="C3283" i="3"/>
  <c r="C3284" i="3"/>
  <c r="C3285" i="3"/>
  <c r="C3286" i="3"/>
  <c r="C3287" i="3"/>
  <c r="C3288" i="3"/>
  <c r="C3289" i="3"/>
  <c r="C3290" i="3"/>
  <c r="C3291" i="3"/>
  <c r="C3292" i="3"/>
  <c r="C3293" i="3"/>
  <c r="C3294" i="3"/>
  <c r="C3295" i="3"/>
  <c r="C3296" i="3"/>
  <c r="C3297" i="3"/>
  <c r="C3298" i="3"/>
  <c r="C3299" i="3"/>
  <c r="C3300" i="3"/>
  <c r="C3301" i="3"/>
  <c r="C3302" i="3"/>
  <c r="C3303" i="3"/>
  <c r="C3304" i="3"/>
  <c r="C3305" i="3"/>
  <c r="C3306" i="3"/>
  <c r="C3307" i="3"/>
  <c r="C3308" i="3"/>
  <c r="C3309" i="3"/>
  <c r="C3310" i="3"/>
  <c r="C3311" i="3"/>
  <c r="C3312" i="3"/>
  <c r="C3313" i="3"/>
  <c r="C3314" i="3"/>
  <c r="C3315" i="3"/>
  <c r="C3316" i="3"/>
  <c r="C3317" i="3"/>
  <c r="C3318" i="3"/>
  <c r="C3319" i="3"/>
  <c r="C3320" i="3"/>
  <c r="C3321" i="3"/>
  <c r="C3322" i="3"/>
  <c r="C3323" i="3"/>
  <c r="C3324" i="3"/>
  <c r="C3325" i="3"/>
  <c r="C3326" i="3"/>
  <c r="C3327" i="3"/>
  <c r="C3328" i="3"/>
  <c r="C3329" i="3"/>
  <c r="C3330" i="3"/>
  <c r="C3331" i="3"/>
  <c r="C3332" i="3"/>
  <c r="C3333" i="3"/>
  <c r="C3334" i="3"/>
  <c r="C3335" i="3"/>
  <c r="C3336" i="3"/>
  <c r="C3337" i="3"/>
  <c r="C3338" i="3"/>
  <c r="C3339" i="3"/>
  <c r="C3340" i="3"/>
  <c r="C3341" i="3"/>
  <c r="C3342" i="3"/>
  <c r="C3343" i="3"/>
  <c r="C3344" i="3"/>
  <c r="C3345" i="3"/>
  <c r="C3346" i="3"/>
  <c r="C3347" i="3"/>
  <c r="C3348" i="3"/>
  <c r="C3349" i="3"/>
  <c r="C3350" i="3"/>
  <c r="C3351" i="3"/>
  <c r="C3352" i="3"/>
  <c r="C3353" i="3"/>
  <c r="C3354" i="3"/>
  <c r="C3355" i="3"/>
  <c r="C3356" i="3"/>
  <c r="C3357" i="3"/>
  <c r="C3358" i="3"/>
  <c r="C3359" i="3"/>
  <c r="C3360" i="3"/>
  <c r="C3361" i="3"/>
  <c r="C3362" i="3"/>
  <c r="C3363" i="3"/>
  <c r="C3364" i="3"/>
  <c r="C3365" i="3"/>
  <c r="C3366" i="3"/>
  <c r="C3367" i="3"/>
  <c r="C3368" i="3"/>
  <c r="C3369" i="3"/>
  <c r="C3370" i="3"/>
  <c r="C3371" i="3"/>
  <c r="C3372" i="3"/>
  <c r="C3373" i="3"/>
  <c r="C3374" i="3"/>
  <c r="C3375" i="3"/>
  <c r="C3376" i="3"/>
  <c r="C3377" i="3"/>
  <c r="C3378" i="3"/>
  <c r="C3379" i="3"/>
  <c r="C3380" i="3"/>
  <c r="C3381" i="3"/>
  <c r="C3382" i="3"/>
  <c r="C3383" i="3"/>
  <c r="C3384" i="3"/>
  <c r="C3385" i="3"/>
  <c r="C3386" i="3"/>
  <c r="C3387" i="3"/>
  <c r="C3388" i="3"/>
  <c r="C3389" i="3"/>
  <c r="C3390" i="3"/>
  <c r="C3391" i="3"/>
  <c r="C3392" i="3"/>
  <c r="C3393" i="3"/>
  <c r="C3394" i="3"/>
  <c r="C3395" i="3"/>
  <c r="C3396" i="3"/>
  <c r="C3397" i="3"/>
  <c r="C3398" i="3"/>
  <c r="C3399" i="3"/>
  <c r="C3400" i="3"/>
  <c r="C3401" i="3"/>
  <c r="C3402" i="3"/>
  <c r="C3403" i="3"/>
  <c r="C3404" i="3"/>
  <c r="C3405" i="3"/>
  <c r="C3406" i="3"/>
  <c r="C3407" i="3"/>
  <c r="C3408" i="3"/>
  <c r="C3409" i="3"/>
  <c r="C3410" i="3"/>
  <c r="C3411" i="3"/>
  <c r="C3412" i="3"/>
  <c r="C3413" i="3"/>
  <c r="C3414" i="3"/>
  <c r="C3415" i="3"/>
  <c r="C3416" i="3"/>
  <c r="C3417" i="3"/>
  <c r="C3418" i="3"/>
  <c r="C3419" i="3"/>
  <c r="C3420" i="3"/>
  <c r="C3421" i="3"/>
  <c r="C3422" i="3"/>
  <c r="C3423" i="3"/>
  <c r="C3424" i="3"/>
  <c r="C3425" i="3"/>
  <c r="C3426" i="3"/>
  <c r="C3427" i="3"/>
  <c r="C3428" i="3"/>
  <c r="C3429" i="3"/>
  <c r="C3430" i="3"/>
  <c r="C3431" i="3"/>
  <c r="C3432" i="3"/>
  <c r="C3433" i="3"/>
  <c r="C3434" i="3"/>
  <c r="C3435" i="3"/>
  <c r="C3436" i="3"/>
  <c r="C3437" i="3"/>
  <c r="C3438" i="3"/>
  <c r="C3439" i="3"/>
  <c r="C3440" i="3"/>
  <c r="C3441" i="3"/>
  <c r="C3442" i="3"/>
  <c r="C3443" i="3"/>
  <c r="C3444" i="3"/>
  <c r="C3445" i="3"/>
  <c r="C3446" i="3"/>
  <c r="C3447" i="3"/>
  <c r="C3448" i="3"/>
  <c r="C3449" i="3"/>
  <c r="C3450" i="3"/>
  <c r="C3451" i="3"/>
  <c r="C3452" i="3"/>
  <c r="C3453" i="3"/>
  <c r="C3454" i="3"/>
  <c r="C3455" i="3"/>
  <c r="C3456" i="3"/>
  <c r="C3457" i="3"/>
  <c r="C3458" i="3"/>
  <c r="C3459" i="3"/>
  <c r="C3460" i="3"/>
  <c r="C3461" i="3"/>
  <c r="C3462" i="3"/>
  <c r="C3463" i="3"/>
  <c r="C3464" i="3"/>
  <c r="C3465" i="3"/>
  <c r="C3466" i="3"/>
  <c r="C3467" i="3"/>
  <c r="C3468" i="3"/>
  <c r="C3469" i="3"/>
  <c r="C3470" i="3"/>
  <c r="C3471" i="3"/>
  <c r="C3472" i="3"/>
  <c r="C3473" i="3"/>
  <c r="C3474" i="3"/>
  <c r="C3475" i="3"/>
  <c r="C3476" i="3"/>
  <c r="C3477" i="3"/>
  <c r="C3478" i="3"/>
  <c r="C3479" i="3"/>
  <c r="C3480" i="3"/>
  <c r="C3481" i="3"/>
  <c r="C3482" i="3"/>
  <c r="C3483" i="3"/>
  <c r="C3484" i="3"/>
  <c r="C3485" i="3"/>
  <c r="C3486" i="3"/>
  <c r="C3487" i="3"/>
  <c r="C3488" i="3"/>
  <c r="C3489" i="3"/>
  <c r="C3490" i="3"/>
  <c r="C3491" i="3"/>
  <c r="C3492" i="3"/>
  <c r="C3493" i="3"/>
  <c r="C3494" i="3"/>
  <c r="C3495" i="3"/>
  <c r="C3496" i="3"/>
  <c r="C3497" i="3"/>
  <c r="C3498" i="3"/>
  <c r="C3499" i="3"/>
  <c r="C3500" i="3"/>
  <c r="C3501" i="3"/>
  <c r="C3502" i="3"/>
  <c r="C3503" i="3"/>
  <c r="C3504" i="3"/>
  <c r="C3505" i="3"/>
  <c r="C3506" i="3"/>
  <c r="C3507" i="3"/>
  <c r="C3508" i="3"/>
  <c r="C3509" i="3"/>
  <c r="C3510" i="3"/>
  <c r="C3511" i="3"/>
  <c r="C3512" i="3"/>
  <c r="C3513" i="3"/>
  <c r="C3514" i="3"/>
  <c r="C3515" i="3"/>
  <c r="C3516" i="3"/>
  <c r="C3517" i="3"/>
  <c r="C3518" i="3"/>
  <c r="C3519" i="3"/>
  <c r="C3520" i="3"/>
  <c r="C3521" i="3"/>
  <c r="C3522" i="3"/>
  <c r="C3523" i="3"/>
  <c r="C3524" i="3"/>
  <c r="C3525" i="3"/>
  <c r="C3526" i="3"/>
  <c r="C3527" i="3"/>
  <c r="C3528" i="3"/>
  <c r="C3529" i="3"/>
  <c r="C3530" i="3"/>
  <c r="C3531" i="3"/>
  <c r="C3532" i="3"/>
  <c r="C3533" i="3"/>
  <c r="C3534" i="3"/>
  <c r="C3535" i="3"/>
  <c r="C3536" i="3"/>
  <c r="C3537" i="3"/>
  <c r="C3538" i="3"/>
  <c r="C3539" i="3"/>
  <c r="C3540" i="3"/>
  <c r="C3541" i="3"/>
  <c r="C3542" i="3"/>
  <c r="C3543" i="3"/>
  <c r="C3544" i="3"/>
  <c r="C3545" i="3"/>
  <c r="C3546" i="3"/>
  <c r="C3547" i="3"/>
  <c r="C3548" i="3"/>
  <c r="C3549" i="3"/>
  <c r="C3550" i="3"/>
  <c r="C3551" i="3"/>
  <c r="C3552" i="3"/>
  <c r="C3553" i="3"/>
  <c r="C3554" i="3"/>
  <c r="C3555" i="3"/>
  <c r="C3556" i="3"/>
  <c r="C3557" i="3"/>
  <c r="C3558" i="3"/>
  <c r="C3559" i="3"/>
  <c r="C3560" i="3"/>
  <c r="C3561" i="3"/>
  <c r="C3562" i="3"/>
  <c r="C3563" i="3"/>
  <c r="C3564" i="3"/>
  <c r="C3565" i="3"/>
  <c r="C3566" i="3"/>
  <c r="C3567" i="3"/>
  <c r="C3568" i="3"/>
  <c r="C3569" i="3"/>
  <c r="C3570" i="3"/>
  <c r="C3571" i="3"/>
  <c r="C3572" i="3"/>
  <c r="C3573" i="3"/>
  <c r="C3574" i="3"/>
  <c r="C3575" i="3"/>
  <c r="C3576" i="3"/>
  <c r="C3577" i="3"/>
  <c r="C3578" i="3"/>
  <c r="C3579" i="3"/>
  <c r="C3580" i="3"/>
  <c r="C3581" i="3"/>
  <c r="C3582" i="3"/>
  <c r="C3583" i="3"/>
  <c r="C3584" i="3"/>
  <c r="C3585" i="3"/>
  <c r="C3586" i="3"/>
  <c r="C3587" i="3"/>
  <c r="C3588" i="3"/>
  <c r="C3589" i="3"/>
  <c r="C3590" i="3"/>
  <c r="C3591" i="3"/>
  <c r="C3592" i="3"/>
  <c r="C3593" i="3"/>
  <c r="C3594" i="3"/>
  <c r="C3595" i="3"/>
  <c r="C3596" i="3"/>
  <c r="C3597" i="3"/>
  <c r="C3598" i="3"/>
  <c r="C3599" i="3"/>
  <c r="C3600" i="3"/>
  <c r="C3601" i="3"/>
  <c r="C3602" i="3"/>
  <c r="C3603" i="3"/>
  <c r="C3604" i="3"/>
  <c r="C3605" i="3"/>
  <c r="C3606" i="3"/>
  <c r="C3607" i="3"/>
  <c r="C3608" i="3"/>
  <c r="C3609" i="3"/>
  <c r="C3610" i="3"/>
  <c r="C3611" i="3"/>
  <c r="C3612" i="3"/>
  <c r="C3613" i="3"/>
  <c r="C3614" i="3"/>
  <c r="C3615" i="3"/>
  <c r="C3616" i="3"/>
  <c r="C3617" i="3"/>
  <c r="C3618" i="3"/>
  <c r="C3619" i="3"/>
  <c r="C3620" i="3"/>
  <c r="C3621" i="3"/>
  <c r="C3622" i="3"/>
  <c r="C3623" i="3"/>
  <c r="C3624" i="3"/>
  <c r="C3625" i="3"/>
  <c r="C3626" i="3"/>
  <c r="C3627" i="3"/>
  <c r="C3628" i="3"/>
  <c r="C3629" i="3"/>
  <c r="C3630" i="3"/>
  <c r="C3631" i="3"/>
  <c r="C3632" i="3"/>
  <c r="C3633" i="3"/>
  <c r="C3634" i="3"/>
  <c r="C3635" i="3"/>
  <c r="C3636" i="3"/>
  <c r="C3637" i="3"/>
  <c r="C3638" i="3"/>
  <c r="C3639" i="3"/>
  <c r="C3640" i="3"/>
  <c r="C3641" i="3"/>
  <c r="C3642" i="3"/>
  <c r="C3643" i="3"/>
  <c r="C3644" i="3"/>
  <c r="C3645" i="3"/>
  <c r="C3646" i="3"/>
  <c r="C3647" i="3"/>
  <c r="C3648" i="3"/>
  <c r="C3649" i="3"/>
  <c r="C3650" i="3"/>
  <c r="C3651" i="3"/>
  <c r="C3652" i="3"/>
  <c r="C3653" i="3"/>
  <c r="C3654" i="3"/>
  <c r="C3655" i="3"/>
  <c r="C3656" i="3"/>
  <c r="C3657" i="3"/>
  <c r="C3658" i="3"/>
  <c r="C3659" i="3"/>
  <c r="C3660" i="3"/>
  <c r="C3661" i="3"/>
  <c r="C3662" i="3"/>
  <c r="C3663" i="3"/>
  <c r="C3664" i="3"/>
  <c r="C3665" i="3"/>
  <c r="C3666" i="3"/>
  <c r="C3667" i="3"/>
  <c r="C3668" i="3"/>
  <c r="C3669" i="3"/>
  <c r="C3670" i="3"/>
  <c r="C3671" i="3"/>
  <c r="C3672" i="3"/>
  <c r="C3673" i="3"/>
  <c r="C3674" i="3"/>
  <c r="C3675" i="3"/>
  <c r="C3676" i="3"/>
  <c r="C3677" i="3"/>
  <c r="C3678" i="3"/>
  <c r="C3679" i="3"/>
  <c r="C3680" i="3"/>
  <c r="C3681" i="3"/>
  <c r="C3682" i="3"/>
  <c r="C3683" i="3"/>
  <c r="C3684" i="3"/>
  <c r="C3685" i="3"/>
  <c r="C3686" i="3"/>
  <c r="C3687" i="3"/>
  <c r="C3688" i="3"/>
  <c r="C3689" i="3"/>
  <c r="C3690" i="3"/>
  <c r="C3691" i="3"/>
  <c r="C3692" i="3"/>
  <c r="C3693" i="3"/>
  <c r="C3694" i="3"/>
  <c r="C3695" i="3"/>
  <c r="C3696" i="3"/>
  <c r="C3697" i="3"/>
  <c r="C3698" i="3"/>
  <c r="C3699" i="3"/>
  <c r="C3700" i="3"/>
  <c r="C3701" i="3"/>
  <c r="C3702" i="3"/>
  <c r="C3703" i="3"/>
  <c r="C3704" i="3"/>
  <c r="C3705" i="3"/>
  <c r="C3706" i="3"/>
  <c r="C3707" i="3"/>
  <c r="C3708" i="3"/>
  <c r="C3709" i="3"/>
  <c r="C3710" i="3"/>
  <c r="C3711" i="3"/>
  <c r="C3712" i="3"/>
  <c r="C3713" i="3"/>
  <c r="C3714" i="3"/>
  <c r="C3715" i="3"/>
  <c r="C3716" i="3"/>
  <c r="C3717" i="3"/>
  <c r="C3718" i="3"/>
  <c r="C3719" i="3"/>
  <c r="C3720" i="3"/>
  <c r="C3721" i="3"/>
  <c r="C3722" i="3"/>
  <c r="C3723" i="3"/>
  <c r="C3724" i="3"/>
  <c r="C3725" i="3"/>
  <c r="C3726" i="3"/>
  <c r="C3727" i="3"/>
  <c r="C3728" i="3"/>
  <c r="C3729" i="3"/>
  <c r="C3730" i="3"/>
  <c r="C3731" i="3"/>
  <c r="C3732" i="3"/>
  <c r="C3733" i="3"/>
  <c r="C3734" i="3"/>
  <c r="C3735" i="3"/>
  <c r="C3736" i="3"/>
  <c r="C3737" i="3"/>
  <c r="C3738" i="3"/>
  <c r="C3739" i="3"/>
  <c r="C3740" i="3"/>
  <c r="C3741" i="3"/>
  <c r="C3742" i="3"/>
  <c r="C3743" i="3"/>
  <c r="C3744" i="3"/>
  <c r="C3745" i="3"/>
  <c r="C3746" i="3"/>
  <c r="C3747" i="3"/>
  <c r="C3748" i="3"/>
  <c r="C3749" i="3"/>
  <c r="C3750" i="3"/>
  <c r="C3751" i="3"/>
  <c r="C3752" i="3"/>
  <c r="C3753" i="3"/>
  <c r="C3754" i="3"/>
  <c r="C3755" i="3"/>
  <c r="C3756" i="3"/>
  <c r="C3757" i="3"/>
  <c r="C3758" i="3"/>
  <c r="C3759" i="3"/>
  <c r="C3760" i="3"/>
  <c r="C3761" i="3"/>
  <c r="C3762" i="3"/>
  <c r="C3763" i="3"/>
  <c r="C3764" i="3"/>
  <c r="C3765" i="3"/>
  <c r="C3766" i="3"/>
  <c r="C3767" i="3"/>
  <c r="C3768" i="3"/>
  <c r="C3769" i="3"/>
  <c r="C3770" i="3"/>
  <c r="C3771" i="3"/>
  <c r="C3772" i="3"/>
  <c r="C3773" i="3"/>
  <c r="C3774" i="3"/>
  <c r="C3775" i="3"/>
  <c r="C3776" i="3"/>
  <c r="C3777" i="3"/>
  <c r="C3778" i="3"/>
  <c r="C3779" i="3"/>
  <c r="C3780" i="3"/>
  <c r="C3781" i="3"/>
  <c r="C3782" i="3"/>
  <c r="C3783" i="3"/>
  <c r="C3784" i="3"/>
  <c r="C3785" i="3"/>
  <c r="C3786" i="3"/>
  <c r="C3787" i="3"/>
  <c r="C3788" i="3"/>
  <c r="C3789" i="3"/>
  <c r="C3790" i="3"/>
  <c r="C3791" i="3"/>
  <c r="C3792" i="3"/>
  <c r="C3793" i="3"/>
  <c r="C3794" i="3"/>
  <c r="C3795" i="3"/>
  <c r="C3796" i="3"/>
  <c r="C3797" i="3"/>
  <c r="C3798" i="3"/>
  <c r="C3799" i="3"/>
  <c r="C3800" i="3"/>
  <c r="C3801" i="3"/>
  <c r="C3802" i="3"/>
  <c r="C3803" i="3"/>
  <c r="C3804" i="3"/>
  <c r="C3805" i="3"/>
  <c r="C3806" i="3"/>
  <c r="C3807" i="3"/>
  <c r="C3808" i="3"/>
  <c r="C3809" i="3"/>
  <c r="C3810" i="3"/>
  <c r="C3811" i="3"/>
  <c r="C3812" i="3"/>
  <c r="C3813" i="3"/>
  <c r="C3814" i="3"/>
  <c r="C3815" i="3"/>
  <c r="C3816" i="3"/>
  <c r="C3817" i="3"/>
  <c r="C3818" i="3"/>
  <c r="C3819" i="3"/>
  <c r="C3820" i="3"/>
  <c r="C3821" i="3"/>
  <c r="C3822" i="3"/>
  <c r="C3823" i="3"/>
  <c r="C3824" i="3"/>
  <c r="C3825" i="3"/>
  <c r="C3826" i="3"/>
  <c r="C3827" i="3"/>
  <c r="C3828" i="3"/>
  <c r="C3829" i="3"/>
  <c r="C3830" i="3"/>
  <c r="C3831" i="3"/>
  <c r="C3832" i="3"/>
  <c r="C3833" i="3"/>
  <c r="C3834" i="3"/>
  <c r="C3835" i="3"/>
  <c r="C3836" i="3"/>
  <c r="C3837" i="3"/>
  <c r="C3838" i="3"/>
  <c r="C3839" i="3"/>
  <c r="C3840" i="3"/>
  <c r="C3841" i="3"/>
  <c r="C3842" i="3"/>
  <c r="C3843" i="3"/>
  <c r="C3844" i="3"/>
  <c r="C3845" i="3"/>
  <c r="C3846" i="3"/>
  <c r="C3847" i="3"/>
  <c r="C3848" i="3"/>
  <c r="C3849" i="3"/>
  <c r="C3850" i="3"/>
  <c r="C3851" i="3"/>
  <c r="C3852" i="3"/>
  <c r="C3853" i="3"/>
  <c r="C3854" i="3"/>
  <c r="C3855" i="3"/>
  <c r="C3856" i="3"/>
  <c r="C3857" i="3"/>
  <c r="C3858" i="3"/>
  <c r="C3859" i="3"/>
  <c r="C3860" i="3"/>
  <c r="C3861" i="3"/>
  <c r="C3862" i="3"/>
  <c r="C3863" i="3"/>
  <c r="C3864" i="3"/>
  <c r="C3865" i="3"/>
  <c r="C3866" i="3"/>
  <c r="C3867" i="3"/>
  <c r="C3868" i="3"/>
  <c r="C3869" i="3"/>
  <c r="C3870" i="3"/>
  <c r="C3871" i="3"/>
  <c r="C3872" i="3"/>
  <c r="C3873" i="3"/>
  <c r="C3874" i="3"/>
  <c r="C3875" i="3"/>
  <c r="C3876" i="3"/>
  <c r="C3877" i="3"/>
  <c r="C3878" i="3"/>
  <c r="C3879" i="3"/>
  <c r="C3880" i="3"/>
  <c r="C3881" i="3"/>
  <c r="C3882" i="3"/>
  <c r="C3883" i="3"/>
  <c r="C3884" i="3"/>
  <c r="C3885" i="3"/>
  <c r="C3886" i="3"/>
  <c r="C3887" i="3"/>
  <c r="C3888" i="3"/>
  <c r="C3889" i="3"/>
  <c r="C3890" i="3"/>
  <c r="C3891" i="3"/>
  <c r="C3892" i="3"/>
  <c r="C3893" i="3"/>
  <c r="C3894" i="3"/>
  <c r="C3895" i="3"/>
  <c r="C3896" i="3"/>
  <c r="C3897" i="3"/>
  <c r="C3898" i="3"/>
  <c r="C3899" i="3"/>
  <c r="C3900" i="3"/>
  <c r="C3901" i="3"/>
  <c r="C3902" i="3"/>
  <c r="C3903" i="3"/>
  <c r="C3904" i="3"/>
  <c r="C3905" i="3"/>
  <c r="C3906" i="3"/>
  <c r="C3907" i="3"/>
  <c r="C3908" i="3"/>
  <c r="C3909" i="3"/>
  <c r="C3910" i="3"/>
  <c r="C3911" i="3"/>
  <c r="C3912" i="3"/>
  <c r="C3913" i="3"/>
  <c r="C3914" i="3"/>
  <c r="C3915" i="3"/>
  <c r="C3916" i="3"/>
  <c r="C3917" i="3"/>
  <c r="C3918" i="3"/>
  <c r="C3919" i="3"/>
  <c r="C3920" i="3"/>
  <c r="C3921" i="3"/>
  <c r="C3922" i="3"/>
  <c r="C3923" i="3"/>
  <c r="C3924" i="3"/>
  <c r="C3925" i="3"/>
  <c r="C3926" i="3"/>
  <c r="C3927" i="3"/>
  <c r="C3928" i="3"/>
  <c r="C3929" i="3"/>
  <c r="C3930" i="3"/>
  <c r="C3931" i="3"/>
  <c r="C3932" i="3"/>
  <c r="C3933" i="3"/>
  <c r="C3934" i="3"/>
  <c r="C3935" i="3"/>
  <c r="C3936" i="3"/>
  <c r="C3937" i="3"/>
  <c r="C3938" i="3"/>
  <c r="C3939" i="3"/>
  <c r="C3940" i="3"/>
  <c r="C3941" i="3"/>
  <c r="C3942" i="3"/>
  <c r="C3943" i="3"/>
  <c r="C3944" i="3"/>
  <c r="C3945" i="3"/>
  <c r="C3946" i="3"/>
  <c r="C3947" i="3"/>
  <c r="C3948" i="3"/>
  <c r="C3949" i="3"/>
  <c r="C3950" i="3"/>
  <c r="C3951" i="3"/>
  <c r="C3952" i="3"/>
  <c r="C3953" i="3"/>
  <c r="C3954" i="3"/>
  <c r="C3955" i="3"/>
  <c r="C3956" i="3"/>
  <c r="C3957" i="3"/>
  <c r="C3958" i="3"/>
  <c r="C3959" i="3"/>
  <c r="C3960" i="3"/>
  <c r="C3961" i="3"/>
  <c r="C3962" i="3"/>
  <c r="C3963" i="3"/>
  <c r="C3964" i="3"/>
  <c r="C3965" i="3"/>
  <c r="C3966" i="3"/>
  <c r="C3967" i="3"/>
  <c r="C3968" i="3"/>
  <c r="C3969" i="3"/>
  <c r="C3970" i="3"/>
  <c r="C3971" i="3"/>
  <c r="C3972" i="3"/>
  <c r="C3973" i="3"/>
  <c r="C3974" i="3"/>
  <c r="C3975" i="3"/>
  <c r="C3976" i="3"/>
  <c r="C3977" i="3"/>
  <c r="C3978" i="3"/>
  <c r="C3979" i="3"/>
  <c r="C3980" i="3"/>
  <c r="C3981" i="3"/>
  <c r="C3982" i="3"/>
  <c r="C3983" i="3"/>
  <c r="C3984" i="3"/>
  <c r="C3985" i="3"/>
  <c r="C3986" i="3"/>
  <c r="C3987" i="3"/>
  <c r="C3988" i="3"/>
  <c r="C3989" i="3"/>
  <c r="C3990" i="3"/>
  <c r="C3991" i="3"/>
  <c r="C3992" i="3"/>
  <c r="C3993" i="3"/>
  <c r="C3994" i="3"/>
  <c r="C3995" i="3"/>
  <c r="C3996" i="3"/>
  <c r="C3997" i="3"/>
  <c r="C3998" i="3"/>
  <c r="C3999" i="3"/>
  <c r="C4000" i="3"/>
  <c r="C4001" i="3"/>
  <c r="C4002" i="3"/>
  <c r="C4003" i="3"/>
  <c r="C4004" i="3"/>
  <c r="C4005" i="3"/>
  <c r="C4006" i="3"/>
  <c r="C4007" i="3"/>
  <c r="C4008" i="3"/>
  <c r="C4009" i="3"/>
  <c r="C4010" i="3"/>
  <c r="C4011" i="3"/>
  <c r="C4012" i="3"/>
  <c r="C4013" i="3"/>
  <c r="C4014" i="3"/>
  <c r="C4015" i="3"/>
  <c r="C4016" i="3"/>
  <c r="C4017" i="3"/>
  <c r="C4018" i="3"/>
  <c r="C4019" i="3"/>
  <c r="C4020" i="3"/>
  <c r="C4021" i="3"/>
  <c r="C4022" i="3"/>
  <c r="C4023" i="3"/>
  <c r="C4024" i="3"/>
  <c r="C4025" i="3"/>
  <c r="C4026" i="3"/>
  <c r="C4027" i="3"/>
  <c r="C4028" i="3"/>
  <c r="C4029" i="3"/>
  <c r="C4030" i="3"/>
  <c r="C4031" i="3"/>
  <c r="C4032" i="3"/>
  <c r="C4033" i="3"/>
  <c r="C4034" i="3"/>
  <c r="C4035" i="3"/>
  <c r="C4036" i="3"/>
  <c r="C4037" i="3"/>
  <c r="C4038" i="3"/>
  <c r="C4039" i="3"/>
  <c r="C4040" i="3"/>
  <c r="C4041" i="3"/>
  <c r="C4042" i="3"/>
  <c r="C4043" i="3"/>
  <c r="C4044" i="3"/>
  <c r="C4045" i="3"/>
  <c r="C4046" i="3"/>
  <c r="C4047" i="3"/>
  <c r="C4048" i="3"/>
  <c r="C4049" i="3"/>
  <c r="C4050" i="3"/>
  <c r="C4051" i="3"/>
  <c r="C4052" i="3"/>
  <c r="C4053" i="3"/>
  <c r="C4054" i="3"/>
  <c r="C4055" i="3"/>
  <c r="C4056" i="3"/>
  <c r="C4057" i="3"/>
  <c r="C4058" i="3"/>
  <c r="C4059" i="3"/>
  <c r="C4060" i="3"/>
  <c r="C4061" i="3"/>
  <c r="C4062" i="3"/>
  <c r="C4063" i="3"/>
  <c r="C4064" i="3"/>
  <c r="C4065" i="3"/>
  <c r="C4066" i="3"/>
  <c r="C4067" i="3"/>
  <c r="C4068" i="3"/>
  <c r="C4069" i="3"/>
  <c r="C4070" i="3"/>
  <c r="C4071" i="3"/>
  <c r="C4072" i="3"/>
  <c r="C4073" i="3"/>
  <c r="C4074" i="3"/>
  <c r="C4075" i="3"/>
  <c r="C4076" i="3"/>
  <c r="C4077" i="3"/>
  <c r="C4078" i="3"/>
  <c r="C4079" i="3"/>
  <c r="C4080" i="3"/>
  <c r="C4081" i="3"/>
  <c r="C4082" i="3"/>
  <c r="C4083" i="3"/>
  <c r="C4084" i="3"/>
  <c r="C4085" i="3"/>
  <c r="C4086" i="3"/>
  <c r="C4087" i="3"/>
  <c r="C4088" i="3"/>
  <c r="C4089" i="3"/>
  <c r="C4090" i="3"/>
  <c r="C4091" i="3"/>
  <c r="C4092" i="3"/>
  <c r="C4093" i="3"/>
  <c r="C4094" i="3"/>
  <c r="C4095" i="3"/>
  <c r="C4096" i="3"/>
  <c r="C4097" i="3"/>
  <c r="C4098" i="3"/>
  <c r="C4099" i="3"/>
  <c r="C4100" i="3"/>
  <c r="C4101" i="3"/>
  <c r="C4102" i="3"/>
  <c r="C4103" i="3"/>
  <c r="C4104" i="3"/>
  <c r="C4105" i="3"/>
  <c r="C4106" i="3"/>
  <c r="C4107" i="3"/>
  <c r="C4108" i="3"/>
  <c r="C4109" i="3"/>
  <c r="C4110" i="3"/>
  <c r="C4111" i="3"/>
  <c r="C4112" i="3"/>
  <c r="C4113" i="3"/>
  <c r="C4114" i="3"/>
  <c r="C4115" i="3"/>
  <c r="C4116" i="3"/>
  <c r="C4117" i="3"/>
  <c r="C4118" i="3"/>
  <c r="C4119" i="3"/>
  <c r="C4120" i="3"/>
  <c r="C4121" i="3"/>
  <c r="C4122" i="3"/>
  <c r="C4123" i="3"/>
  <c r="C4124" i="3"/>
  <c r="C4125" i="3"/>
  <c r="C4126" i="3"/>
  <c r="C4127" i="3"/>
  <c r="C4128" i="3"/>
  <c r="C4129" i="3"/>
  <c r="C4130" i="3"/>
  <c r="C4131" i="3"/>
  <c r="C4132" i="3"/>
  <c r="C4133" i="3"/>
  <c r="C4134" i="3"/>
  <c r="C4135" i="3"/>
  <c r="C4136" i="3"/>
  <c r="C4137" i="3"/>
  <c r="C4138" i="3"/>
  <c r="C4139" i="3"/>
  <c r="C4140" i="3"/>
  <c r="C4141" i="3"/>
  <c r="C4142" i="3"/>
  <c r="C4143" i="3"/>
  <c r="C4144" i="3"/>
  <c r="C4145" i="3"/>
  <c r="C4146" i="3"/>
  <c r="C4147" i="3"/>
  <c r="C4148" i="3"/>
  <c r="C4149" i="3"/>
  <c r="C4150" i="3"/>
  <c r="C4151" i="3"/>
  <c r="C4152" i="3"/>
  <c r="C4153" i="3"/>
  <c r="C4154" i="3"/>
  <c r="C4155" i="3"/>
  <c r="C4156" i="3"/>
  <c r="C4157" i="3"/>
  <c r="C4158" i="3"/>
  <c r="C4159" i="3"/>
  <c r="C4160" i="3"/>
  <c r="C4161" i="3"/>
  <c r="C4162" i="3"/>
  <c r="C4163" i="3"/>
  <c r="C4164" i="3"/>
  <c r="C4165" i="3"/>
  <c r="C4166" i="3"/>
  <c r="C4167" i="3"/>
  <c r="C4168" i="3"/>
  <c r="C4169" i="3"/>
  <c r="C4170" i="3"/>
  <c r="C4171" i="3"/>
  <c r="C4172" i="3"/>
  <c r="C4173" i="3"/>
  <c r="C4174" i="3"/>
  <c r="C4175" i="3"/>
  <c r="C4176" i="3"/>
  <c r="C4177" i="3"/>
  <c r="C4178" i="3"/>
  <c r="C4179" i="3"/>
  <c r="C4180" i="3"/>
  <c r="C4181" i="3"/>
  <c r="C4182" i="3"/>
  <c r="C4183" i="3"/>
  <c r="C4184" i="3"/>
  <c r="C4185" i="3"/>
  <c r="C4186" i="3"/>
  <c r="C4187" i="3"/>
  <c r="C4188" i="3"/>
  <c r="C4189" i="3"/>
  <c r="C4190" i="3"/>
  <c r="C4191" i="3"/>
  <c r="C4192" i="3"/>
  <c r="C4193" i="3"/>
  <c r="C4194" i="3"/>
  <c r="C4195" i="3"/>
  <c r="C4196" i="3"/>
  <c r="C4197" i="3"/>
  <c r="C4198" i="3"/>
  <c r="C4199" i="3"/>
  <c r="C4200" i="3"/>
  <c r="C4201" i="3"/>
  <c r="C4202" i="3"/>
  <c r="C4203" i="3"/>
  <c r="C4204" i="3"/>
  <c r="C4205" i="3"/>
  <c r="C4206" i="3"/>
  <c r="C4207" i="3"/>
  <c r="C4208" i="3"/>
  <c r="C4209" i="3"/>
  <c r="C4210" i="3"/>
  <c r="C4211" i="3"/>
  <c r="C4212" i="3"/>
  <c r="C4213" i="3"/>
  <c r="C4214" i="3"/>
  <c r="C4215" i="3"/>
  <c r="C4216" i="3"/>
  <c r="C4217" i="3"/>
  <c r="C4218" i="3"/>
  <c r="C4219" i="3"/>
  <c r="C4220" i="3"/>
  <c r="C4221" i="3"/>
  <c r="C4222" i="3"/>
  <c r="C4223" i="3"/>
  <c r="C4224" i="3"/>
  <c r="C4225" i="3"/>
  <c r="C4226" i="3"/>
  <c r="C4227" i="3"/>
  <c r="C4228" i="3"/>
  <c r="C4229" i="3"/>
  <c r="C4230" i="3"/>
  <c r="C4231" i="3"/>
  <c r="C4232" i="3"/>
  <c r="C4233" i="3"/>
  <c r="C4234" i="3"/>
  <c r="C4235" i="3"/>
  <c r="C4236" i="3"/>
  <c r="C4237" i="3"/>
  <c r="C4238" i="3"/>
  <c r="C4239" i="3"/>
  <c r="C4240" i="3"/>
  <c r="C4241" i="3"/>
  <c r="C4242" i="3"/>
  <c r="C4243" i="3"/>
  <c r="C4244" i="3"/>
  <c r="C4245" i="3"/>
  <c r="C4246" i="3"/>
  <c r="C4247" i="3"/>
  <c r="C4248" i="3"/>
  <c r="C4249" i="3"/>
  <c r="C4250" i="3"/>
  <c r="C4251" i="3"/>
  <c r="C4252" i="3"/>
  <c r="C4253" i="3"/>
  <c r="C4254" i="3"/>
  <c r="C4255" i="3"/>
  <c r="C4256" i="3"/>
  <c r="C4257" i="3"/>
  <c r="C4258" i="3"/>
  <c r="C4259" i="3"/>
  <c r="C4260" i="3"/>
  <c r="C4261" i="3"/>
  <c r="C4262" i="3"/>
  <c r="C4263" i="3"/>
  <c r="C4264" i="3"/>
  <c r="C4265" i="3"/>
  <c r="C4266" i="3"/>
  <c r="C4267" i="3"/>
  <c r="C4268" i="3"/>
  <c r="C4269" i="3"/>
  <c r="C4270" i="3"/>
  <c r="C4271" i="3"/>
  <c r="C4272" i="3"/>
  <c r="C4273" i="3"/>
  <c r="C4274" i="3"/>
  <c r="C4275" i="3"/>
  <c r="C4276" i="3"/>
  <c r="C4277" i="3"/>
  <c r="C4278" i="3"/>
  <c r="C4279" i="3"/>
  <c r="C4280" i="3"/>
  <c r="C4281" i="3"/>
  <c r="C4282" i="3"/>
  <c r="C4283" i="3"/>
  <c r="C4284" i="3"/>
  <c r="C4285" i="3"/>
  <c r="C4286" i="3"/>
  <c r="C4287" i="3"/>
  <c r="C4288" i="3"/>
  <c r="C4289" i="3"/>
  <c r="C4290" i="3"/>
  <c r="C4291" i="3"/>
  <c r="C4292" i="3"/>
  <c r="C4293" i="3"/>
  <c r="C4294" i="3"/>
  <c r="C4295" i="3"/>
  <c r="C4296" i="3"/>
  <c r="C4297" i="3"/>
  <c r="C4298" i="3"/>
  <c r="C4299" i="3"/>
  <c r="C4300" i="3"/>
  <c r="C4301" i="3"/>
  <c r="C4302" i="3"/>
  <c r="C4303" i="3"/>
  <c r="C4304" i="3"/>
  <c r="C4305" i="3"/>
  <c r="C4306" i="3"/>
  <c r="C4307" i="3"/>
  <c r="C4308" i="3"/>
  <c r="C4309" i="3"/>
  <c r="C4310" i="3"/>
  <c r="C4311" i="3"/>
  <c r="C4312" i="3"/>
  <c r="C4313" i="3"/>
  <c r="C4314" i="3"/>
  <c r="C4315" i="3"/>
  <c r="C4316" i="3"/>
  <c r="C4317" i="3"/>
  <c r="C4318" i="3"/>
  <c r="C4319" i="3"/>
  <c r="C4320" i="3"/>
  <c r="C4321" i="3"/>
  <c r="C4322" i="3"/>
  <c r="C4323" i="3"/>
  <c r="C4324" i="3"/>
  <c r="C4325" i="3"/>
  <c r="C4326" i="3"/>
  <c r="C4327" i="3"/>
  <c r="C4328" i="3"/>
  <c r="C4329" i="3"/>
  <c r="C4330" i="3"/>
  <c r="C4331" i="3"/>
  <c r="C4332" i="3"/>
  <c r="C4333" i="3"/>
  <c r="C4334" i="3"/>
  <c r="C4335" i="3"/>
  <c r="C4336" i="3"/>
  <c r="C4337" i="3"/>
  <c r="C4338" i="3"/>
  <c r="C4339" i="3"/>
  <c r="C4340" i="3"/>
  <c r="C4341" i="3"/>
  <c r="C4342" i="3"/>
  <c r="C4343" i="3"/>
  <c r="C4344" i="3"/>
  <c r="C4345" i="3"/>
  <c r="C4346" i="3"/>
  <c r="C4347" i="3"/>
  <c r="C4348" i="3"/>
  <c r="C4349" i="3"/>
  <c r="C4350" i="3"/>
  <c r="C4351" i="3"/>
  <c r="C4352" i="3"/>
  <c r="C4353" i="3"/>
  <c r="C4354" i="3"/>
  <c r="C4355" i="3"/>
  <c r="C4356" i="3"/>
  <c r="C4357" i="3"/>
  <c r="C4358" i="3"/>
  <c r="C4359" i="3"/>
  <c r="C4360" i="3"/>
  <c r="C4361" i="3"/>
  <c r="C4362" i="3"/>
  <c r="C4363" i="3"/>
  <c r="C4364" i="3"/>
  <c r="C4365" i="3"/>
  <c r="C4366" i="3"/>
  <c r="C4367" i="3"/>
  <c r="C4368" i="3"/>
  <c r="C4369" i="3"/>
  <c r="C4370" i="3"/>
  <c r="C4371" i="3"/>
  <c r="C4372" i="3"/>
  <c r="C4373" i="3"/>
  <c r="C4374" i="3"/>
  <c r="C4375" i="3"/>
  <c r="C4376" i="3"/>
  <c r="C4377" i="3"/>
  <c r="C4378" i="3"/>
  <c r="C4379" i="3"/>
  <c r="C4380" i="3"/>
  <c r="C4381" i="3"/>
  <c r="C4382" i="3"/>
  <c r="C4383" i="3"/>
  <c r="C4384" i="3"/>
  <c r="C4385" i="3"/>
  <c r="C4386" i="3"/>
  <c r="C4387" i="3"/>
  <c r="C4388" i="3"/>
  <c r="C4389" i="3"/>
  <c r="C4390" i="3"/>
  <c r="C4391" i="3"/>
  <c r="C4392" i="3"/>
  <c r="C4393" i="3"/>
  <c r="C4394" i="3"/>
  <c r="C4395" i="3"/>
  <c r="C4396" i="3"/>
  <c r="C4397" i="3"/>
  <c r="C4398" i="3"/>
  <c r="C4399" i="3"/>
  <c r="C4400" i="3"/>
  <c r="C4401" i="3"/>
  <c r="C4402" i="3"/>
  <c r="C4403" i="3"/>
  <c r="C4404" i="3"/>
  <c r="C4405" i="3"/>
  <c r="C4406" i="3"/>
  <c r="C4407" i="3"/>
  <c r="C4408" i="3"/>
  <c r="C4409" i="3"/>
  <c r="C4410" i="3"/>
  <c r="C4411" i="3"/>
  <c r="C4412" i="3"/>
  <c r="C4413" i="3"/>
  <c r="C4414" i="3"/>
  <c r="C4415" i="3"/>
  <c r="C4416" i="3"/>
  <c r="C4417" i="3"/>
  <c r="C4418" i="3"/>
  <c r="C4419" i="3"/>
  <c r="C4420" i="3"/>
  <c r="C4421" i="3"/>
  <c r="C4422" i="3"/>
  <c r="C4423" i="3"/>
  <c r="C4424" i="3"/>
  <c r="C4425" i="3"/>
  <c r="C4426" i="3"/>
  <c r="C4427" i="3"/>
  <c r="C4428" i="3"/>
  <c r="C4429" i="3"/>
  <c r="C4430" i="3"/>
  <c r="C4431" i="3"/>
  <c r="C4432" i="3"/>
  <c r="C4433" i="3"/>
  <c r="C4434" i="3"/>
  <c r="C4435" i="3"/>
  <c r="C4436" i="3"/>
  <c r="C4437" i="3"/>
  <c r="C4438" i="3"/>
  <c r="C4439" i="3"/>
  <c r="C4440" i="3"/>
  <c r="C4441" i="3"/>
  <c r="C4442" i="3"/>
  <c r="C4443" i="3"/>
  <c r="C4444" i="3"/>
  <c r="C4445" i="3"/>
  <c r="C4446" i="3"/>
  <c r="C4447" i="3"/>
  <c r="C4448" i="3"/>
  <c r="C4449" i="3"/>
  <c r="C4450" i="3"/>
  <c r="C4451" i="3"/>
  <c r="C4452" i="3"/>
  <c r="C4453" i="3"/>
  <c r="C4454" i="3"/>
  <c r="C4455" i="3"/>
  <c r="C4456" i="3"/>
  <c r="C4457" i="3"/>
  <c r="C4458" i="3"/>
  <c r="C4459" i="3"/>
  <c r="C4460" i="3"/>
  <c r="C4461" i="3"/>
  <c r="C4462" i="3"/>
  <c r="C4463" i="3"/>
  <c r="C4464" i="3"/>
  <c r="C4465" i="3"/>
  <c r="C4466" i="3"/>
  <c r="C4467" i="3"/>
  <c r="C4468" i="3"/>
  <c r="C4469" i="3"/>
  <c r="C4470" i="3"/>
  <c r="C4471" i="3"/>
  <c r="C4472" i="3"/>
  <c r="C4473" i="3"/>
  <c r="C4474" i="3"/>
  <c r="C4475" i="3"/>
  <c r="C4476" i="3"/>
  <c r="C4477" i="3"/>
  <c r="C4478" i="3"/>
  <c r="C4479" i="3"/>
  <c r="C4480" i="3"/>
  <c r="C4481" i="3"/>
  <c r="C4482" i="3"/>
  <c r="C4483" i="3"/>
  <c r="C4484" i="3"/>
  <c r="C4485" i="3"/>
  <c r="C4486" i="3"/>
  <c r="C4487" i="3"/>
  <c r="C4488" i="3"/>
  <c r="C4489" i="3"/>
  <c r="C4490" i="3"/>
  <c r="C4491" i="3"/>
  <c r="C4492" i="3"/>
  <c r="C4493" i="3"/>
  <c r="C4494" i="3"/>
  <c r="C4495" i="3"/>
  <c r="C4496" i="3"/>
  <c r="C4497" i="3"/>
  <c r="C4498" i="3"/>
  <c r="C4499" i="3"/>
  <c r="C4500" i="3"/>
  <c r="C4501" i="3"/>
  <c r="C4502" i="3"/>
  <c r="C4503" i="3"/>
  <c r="C2" i="3"/>
  <c r="I3407" i="3" l="1"/>
  <c r="I3401" i="3"/>
  <c r="I3391" i="3"/>
  <c r="I3388" i="3"/>
  <c r="I3385" i="3"/>
  <c r="I3382" i="3"/>
  <c r="I3378" i="3"/>
  <c r="I3376" i="3"/>
  <c r="I3373" i="3"/>
  <c r="I3370" i="3"/>
  <c r="I3366" i="3"/>
  <c r="I3363" i="3"/>
  <c r="I3358" i="3"/>
  <c r="I3344" i="3"/>
  <c r="I3338" i="3"/>
  <c r="I3332" i="3"/>
  <c r="I3326" i="3"/>
  <c r="I3323" i="3"/>
  <c r="I3317" i="3"/>
  <c r="I3314" i="3"/>
  <c r="I3312" i="3"/>
  <c r="I3299" i="3"/>
  <c r="I3293" i="3"/>
  <c r="I3287" i="3"/>
  <c r="I3281" i="3"/>
  <c r="I3277" i="3"/>
  <c r="I3274" i="3"/>
  <c r="I3271" i="3"/>
  <c r="I3267" i="3"/>
  <c r="I3262" i="3"/>
  <c r="I3259" i="3"/>
  <c r="I3251" i="3"/>
  <c r="I3245" i="3"/>
  <c r="I3240" i="3"/>
  <c r="I3237" i="3"/>
  <c r="I3229" i="3"/>
  <c r="I3223" i="3"/>
  <c r="I3219" i="3"/>
  <c r="I3214" i="3"/>
  <c r="I3211" i="3"/>
  <c r="I2654" i="3"/>
  <c r="I2651" i="3"/>
  <c r="I2647" i="3"/>
  <c r="I2644" i="3"/>
  <c r="I2641" i="3"/>
  <c r="I2638" i="3"/>
  <c r="I2633" i="3"/>
  <c r="I2623" i="3"/>
  <c r="I2614" i="3"/>
  <c r="I2611" i="3"/>
  <c r="I2605" i="3"/>
  <c r="I2602" i="3"/>
  <c r="I2598" i="3"/>
  <c r="I2594" i="3"/>
  <c r="I2591" i="3"/>
  <c r="I2588" i="3"/>
  <c r="I2586" i="3"/>
  <c r="I2578" i="3"/>
  <c r="I2574" i="3"/>
  <c r="I2571" i="3"/>
  <c r="I2561" i="3"/>
  <c r="I2554" i="3"/>
  <c r="I2551" i="3"/>
  <c r="I2549" i="3"/>
  <c r="I2547" i="3"/>
  <c r="I2539" i="3"/>
  <c r="I2524" i="3"/>
  <c r="I2521" i="3"/>
  <c r="I2515" i="3"/>
  <c r="I2513" i="3"/>
  <c r="I2510" i="3"/>
  <c r="I2505" i="3"/>
  <c r="I2498" i="3"/>
  <c r="I2494" i="3"/>
  <c r="I2492" i="3"/>
  <c r="I2488" i="3"/>
  <c r="I2484" i="3"/>
  <c r="I2481" i="3"/>
  <c r="I2476" i="3"/>
  <c r="I2474" i="3"/>
  <c r="I2470" i="3"/>
  <c r="I2464" i="3"/>
  <c r="I2461" i="3"/>
  <c r="I2458" i="3"/>
  <c r="I2454" i="3"/>
  <c r="I2451" i="3"/>
  <c r="I2446" i="3"/>
  <c r="I2440" i="3"/>
  <c r="I2437" i="3"/>
  <c r="I2433" i="3"/>
  <c r="I2425" i="3"/>
  <c r="I2422" i="3"/>
  <c r="I2413" i="3"/>
  <c r="I2410" i="3"/>
  <c r="I2406" i="3"/>
  <c r="I2402" i="3"/>
  <c r="I2394" i="3"/>
  <c r="I2391" i="3"/>
  <c r="I2385" i="3"/>
  <c r="I2382" i="3"/>
  <c r="I2380" i="3"/>
  <c r="I2377" i="3"/>
  <c r="I2372" i="3"/>
  <c r="I2366" i="3"/>
  <c r="I2363" i="3"/>
  <c r="I2358" i="3"/>
  <c r="I4166" i="3"/>
  <c r="I4163" i="3"/>
  <c r="I4159" i="3"/>
  <c r="I4156" i="3"/>
  <c r="I4153" i="3"/>
  <c r="I4147" i="3"/>
  <c r="I4144" i="3"/>
  <c r="I4141" i="3"/>
  <c r="I4138" i="3"/>
  <c r="I4135" i="3"/>
  <c r="I4132" i="3"/>
  <c r="I4124" i="3"/>
  <c r="I4121" i="3"/>
  <c r="I4116" i="3"/>
  <c r="I4111" i="3"/>
  <c r="I4108" i="3"/>
  <c r="I4105" i="3"/>
  <c r="I4102" i="3"/>
  <c r="I4099" i="3"/>
  <c r="I4095" i="3"/>
  <c r="I4090" i="3"/>
  <c r="I4087" i="3"/>
  <c r="I4084" i="3"/>
  <c r="I4082" i="3"/>
  <c r="I4077" i="3"/>
  <c r="I4071" i="3"/>
  <c r="I4068" i="3"/>
  <c r="I4065" i="3"/>
  <c r="I4062" i="3"/>
  <c r="I4057" i="3"/>
  <c r="I4054" i="3"/>
  <c r="I4051" i="3"/>
  <c r="I4048" i="3"/>
  <c r="I4046" i="3"/>
  <c r="I4043" i="3"/>
  <c r="I4040" i="3"/>
  <c r="I4037" i="3"/>
  <c r="I4034" i="3"/>
  <c r="I4031" i="3"/>
  <c r="I4028" i="3"/>
  <c r="I4025" i="3"/>
  <c r="I4022" i="3"/>
  <c r="I4019" i="3"/>
  <c r="I4016" i="3"/>
  <c r="I4013" i="3"/>
  <c r="I4011" i="3"/>
  <c r="I4008" i="3"/>
  <c r="I4005" i="3"/>
  <c r="I3999" i="3"/>
  <c r="I3996" i="3"/>
  <c r="I3993" i="3"/>
  <c r="I3989" i="3"/>
  <c r="I3986" i="3"/>
  <c r="I3981" i="3"/>
  <c r="I3978" i="3"/>
  <c r="I3976" i="3"/>
  <c r="I3974" i="3"/>
  <c r="I3971" i="3"/>
  <c r="I3966" i="3"/>
  <c r="I3963" i="3"/>
  <c r="I3960" i="3"/>
  <c r="I3957" i="3"/>
  <c r="I3952" i="3"/>
  <c r="I3949" i="3"/>
  <c r="I3946" i="3"/>
  <c r="I3942" i="3"/>
  <c r="I3938" i="3"/>
  <c r="I3933" i="3"/>
  <c r="I3930" i="3"/>
  <c r="I3927" i="3"/>
  <c r="I3923" i="3"/>
  <c r="I3920" i="3"/>
  <c r="I2337" i="3"/>
  <c r="I2334" i="3"/>
  <c r="I2322" i="3"/>
  <c r="I2319" i="3"/>
  <c r="I2316" i="3"/>
  <c r="I2310" i="3"/>
  <c r="I2289" i="3"/>
  <c r="I2279" i="3"/>
  <c r="I2273" i="3"/>
  <c r="I2270" i="3"/>
  <c r="I2265" i="3"/>
  <c r="I2262" i="3"/>
  <c r="I2256" i="3"/>
  <c r="I2251" i="3"/>
  <c r="I2247" i="3"/>
  <c r="I2242" i="3"/>
  <c r="I2238" i="3"/>
  <c r="I2230" i="3"/>
  <c r="I2221" i="3"/>
  <c r="I2219" i="3"/>
  <c r="I2214" i="3"/>
  <c r="I2207" i="3"/>
  <c r="I2201" i="3"/>
  <c r="I2198" i="3"/>
  <c r="I2192" i="3"/>
  <c r="I2186" i="3"/>
  <c r="I2184" i="3"/>
  <c r="I2176" i="3"/>
  <c r="I2172" i="3"/>
  <c r="I2166" i="3"/>
  <c r="I2163" i="3"/>
  <c r="I2158" i="3"/>
  <c r="I2152" i="3"/>
  <c r="I2149" i="3"/>
  <c r="I2142" i="3"/>
  <c r="I2137" i="3"/>
  <c r="I2134" i="3"/>
  <c r="I2131" i="3"/>
  <c r="I2128" i="3"/>
  <c r="I2125" i="3"/>
  <c r="I2122" i="3"/>
  <c r="I2119" i="3"/>
  <c r="I2115" i="3"/>
  <c r="I2112" i="3"/>
  <c r="I2107" i="3"/>
  <c r="I2104" i="3"/>
  <c r="I2101" i="3"/>
  <c r="I2095" i="3"/>
  <c r="I2092" i="3"/>
  <c r="I2089" i="3"/>
  <c r="I2086" i="3"/>
  <c r="I2083" i="3"/>
  <c r="I2080" i="3"/>
  <c r="I2077" i="3"/>
  <c r="I2072" i="3"/>
  <c r="I2069" i="3"/>
  <c r="I2066" i="3"/>
  <c r="I2063" i="3"/>
  <c r="I2059" i="3"/>
  <c r="I2052" i="3"/>
  <c r="I2049" i="3"/>
  <c r="I2046" i="3"/>
  <c r="I2043" i="3"/>
  <c r="I2040" i="3"/>
  <c r="I2037" i="3"/>
  <c r="I2034" i="3"/>
  <c r="I2027" i="3"/>
  <c r="I2024" i="3"/>
  <c r="I2021" i="3"/>
  <c r="I2014" i="3"/>
  <c r="I2011" i="3"/>
  <c r="I2008" i="3"/>
  <c r="I2005" i="3"/>
  <c r="I2001" i="3"/>
  <c r="I1998" i="3"/>
  <c r="I1995" i="3"/>
  <c r="I1992" i="3"/>
  <c r="I1989" i="3"/>
  <c r="I1974" i="3"/>
  <c r="I1969" i="3"/>
  <c r="I1955" i="3"/>
  <c r="I1951" i="3"/>
  <c r="I1947" i="3"/>
  <c r="I1943" i="3"/>
  <c r="I1934" i="3"/>
  <c r="I1932" i="3"/>
  <c r="I1926" i="3"/>
  <c r="I1923" i="3"/>
  <c r="I1920" i="3"/>
  <c r="I1914" i="3"/>
  <c r="I1910" i="3"/>
  <c r="I1906" i="3"/>
  <c r="I1903" i="3"/>
  <c r="I1892" i="3"/>
  <c r="I1889" i="3"/>
  <c r="I1886" i="3"/>
  <c r="I1883" i="3"/>
  <c r="I1876" i="3"/>
  <c r="I1871" i="3"/>
  <c r="I1868" i="3"/>
  <c r="I1860" i="3"/>
  <c r="I1855" i="3"/>
  <c r="I1850" i="3"/>
  <c r="I1847" i="3"/>
  <c r="I1840" i="3"/>
  <c r="I1833" i="3"/>
  <c r="I1831" i="3"/>
  <c r="I3426" i="3"/>
  <c r="I3423" i="3"/>
  <c r="I3917" i="3"/>
  <c r="I3915" i="3"/>
  <c r="I3910" i="3"/>
  <c r="I3902" i="3"/>
  <c r="I3899" i="3"/>
  <c r="I3889" i="3"/>
  <c r="I3882" i="3"/>
  <c r="I3877" i="3"/>
  <c r="I3875" i="3"/>
  <c r="I3872" i="3"/>
  <c r="I3869" i="3"/>
  <c r="I3863" i="3"/>
  <c r="I3853" i="3"/>
  <c r="I3846" i="3"/>
  <c r="I3844" i="3"/>
  <c r="I3834" i="3"/>
  <c r="I3829" i="3"/>
  <c r="I3819" i="3"/>
  <c r="I3805" i="3"/>
  <c r="I3802" i="3"/>
  <c r="I3799" i="3"/>
  <c r="I3794" i="3"/>
  <c r="I3791" i="3"/>
  <c r="I3788" i="3"/>
  <c r="I3785" i="3"/>
  <c r="I3780" i="3"/>
  <c r="I3777" i="3"/>
  <c r="I3774" i="3"/>
  <c r="I3771" i="3"/>
  <c r="I3763" i="3"/>
  <c r="I3759" i="3"/>
  <c r="I3756" i="3"/>
  <c r="I3749" i="3"/>
  <c r="I3745" i="3"/>
  <c r="I3742" i="3"/>
  <c r="I3736" i="3"/>
  <c r="I3731" i="3"/>
  <c r="I3726" i="3"/>
  <c r="I3720" i="3"/>
  <c r="I3717" i="3"/>
  <c r="I3714" i="3"/>
  <c r="I3708" i="3"/>
  <c r="I3705" i="3"/>
  <c r="I3698" i="3"/>
  <c r="I3691" i="3"/>
  <c r="I3685" i="3"/>
  <c r="I3681" i="3"/>
  <c r="I3674" i="3"/>
  <c r="I3671" i="3"/>
  <c r="I3667" i="3"/>
  <c r="I3663" i="3"/>
  <c r="I3660" i="3"/>
  <c r="I3658" i="3"/>
  <c r="I3655" i="3"/>
  <c r="I3650" i="3"/>
  <c r="I3646" i="3"/>
  <c r="I3640" i="3"/>
  <c r="I3630" i="3"/>
  <c r="I4421" i="3"/>
  <c r="I4412" i="3"/>
  <c r="I4392" i="3"/>
  <c r="I4386" i="3"/>
  <c r="I4376" i="3"/>
  <c r="I4367" i="3"/>
  <c r="I4364" i="3"/>
  <c r="I4353" i="3"/>
  <c r="I4345" i="3"/>
  <c r="I4341" i="3"/>
  <c r="I4336" i="3"/>
  <c r="I4333" i="3"/>
  <c r="I4330" i="3"/>
  <c r="I4328" i="3"/>
  <c r="I4325" i="3"/>
  <c r="I4322" i="3"/>
  <c r="I4319" i="3"/>
  <c r="I4316" i="3"/>
  <c r="I4308" i="3"/>
  <c r="I4305" i="3"/>
  <c r="I4302" i="3"/>
  <c r="I4299" i="3"/>
  <c r="I4294" i="3"/>
  <c r="I4283" i="3"/>
  <c r="I4280" i="3"/>
  <c r="I4275" i="3"/>
  <c r="I4272" i="3"/>
  <c r="I4267" i="3"/>
  <c r="I4262" i="3"/>
  <c r="I4259" i="3"/>
  <c r="I4256" i="3"/>
  <c r="I4251" i="3"/>
  <c r="I4242" i="3"/>
  <c r="I4236" i="3"/>
  <c r="I3625" i="3"/>
  <c r="I3620" i="3"/>
  <c r="I3615" i="3"/>
  <c r="I3612" i="3"/>
  <c r="I3605" i="3"/>
  <c r="I3602" i="3"/>
  <c r="I3599" i="3"/>
  <c r="I3596" i="3"/>
  <c r="I3593" i="3"/>
  <c r="I3588" i="3"/>
  <c r="I3585" i="3"/>
  <c r="I3582" i="3"/>
  <c r="I3579" i="3"/>
  <c r="I3576" i="3"/>
  <c r="I3568" i="3"/>
  <c r="I3563" i="3"/>
  <c r="I3561" i="3"/>
  <c r="I3558" i="3"/>
  <c r="I3555" i="3"/>
  <c r="I3552" i="3"/>
  <c r="I3549" i="3"/>
  <c r="I3542" i="3"/>
  <c r="I3539" i="3"/>
  <c r="I3535" i="3"/>
  <c r="I3531" i="3"/>
  <c r="I3527" i="3"/>
  <c r="I3522" i="3"/>
  <c r="I3519" i="3"/>
  <c r="I3517" i="3"/>
  <c r="I4474" i="3"/>
  <c r="I4472" i="3"/>
  <c r="I4460" i="3"/>
  <c r="I4459" i="3"/>
  <c r="I4457" i="3"/>
  <c r="I4453" i="3"/>
  <c r="I4449" i="3"/>
  <c r="I2868" i="3"/>
  <c r="I2865" i="3"/>
  <c r="I2861" i="3"/>
  <c r="I2857" i="3"/>
  <c r="I2854" i="3"/>
  <c r="I2851" i="3"/>
  <c r="I2846" i="3"/>
  <c r="I2843" i="3"/>
  <c r="I2840" i="3"/>
  <c r="I2837" i="3"/>
  <c r="I2834" i="3"/>
  <c r="I2830" i="3"/>
  <c r="I2827" i="3"/>
  <c r="I2824" i="3"/>
  <c r="I2818" i="3"/>
  <c r="I2815" i="3"/>
  <c r="I597" i="3"/>
  <c r="I585" i="3"/>
  <c r="I580" i="3"/>
  <c r="I578" i="3"/>
  <c r="I571" i="3"/>
  <c r="I568" i="3"/>
  <c r="I565" i="3"/>
  <c r="I563" i="3"/>
  <c r="I552" i="3"/>
  <c r="I546" i="3"/>
  <c r="I534" i="3"/>
  <c r="I531" i="3"/>
  <c r="I528" i="3"/>
  <c r="I526" i="3"/>
  <c r="I520" i="3"/>
  <c r="I518" i="3"/>
  <c r="I504" i="3"/>
  <c r="I501" i="3"/>
  <c r="I498" i="3"/>
  <c r="I494" i="3"/>
  <c r="I491" i="3"/>
  <c r="I488" i="3"/>
  <c r="I485" i="3"/>
  <c r="I482" i="3"/>
  <c r="I477" i="3"/>
  <c r="I471" i="3"/>
  <c r="I468" i="3"/>
  <c r="I465" i="3"/>
  <c r="I462" i="3"/>
  <c r="I459" i="3"/>
  <c r="I3478" i="3"/>
  <c r="I3474" i="3"/>
  <c r="I3456" i="3"/>
  <c r="I3450" i="3"/>
  <c r="I3444" i="3"/>
  <c r="I3438" i="3"/>
  <c r="I4223" i="3"/>
  <c r="I4210" i="3"/>
  <c r="I4203" i="3"/>
  <c r="I4182" i="3"/>
  <c r="I4176" i="3"/>
  <c r="I4173" i="3"/>
  <c r="I3202" i="3"/>
  <c r="I3198" i="3"/>
  <c r="I3196" i="3"/>
  <c r="I3193" i="3"/>
  <c r="I3184" i="3"/>
  <c r="I3171" i="3"/>
  <c r="I3169" i="3"/>
  <c r="I3162" i="3"/>
  <c r="I3148" i="3"/>
  <c r="I3141" i="3"/>
  <c r="I3137" i="3"/>
  <c r="I3132" i="3"/>
  <c r="I3126" i="3"/>
  <c r="I3093" i="3"/>
  <c r="I3090" i="3"/>
  <c r="I3085" i="3"/>
  <c r="I3080" i="3"/>
  <c r="I3074" i="3"/>
  <c r="I3063" i="3"/>
  <c r="I3058" i="3"/>
  <c r="I3055" i="3"/>
  <c r="I3051" i="3"/>
  <c r="I3029" i="3"/>
  <c r="I3025" i="3"/>
  <c r="I3019" i="3"/>
  <c r="I3009" i="3"/>
  <c r="I3006" i="3"/>
  <c r="I2986" i="3"/>
  <c r="I2982" i="3"/>
  <c r="I2974" i="3"/>
  <c r="I2963" i="3"/>
  <c r="I2959" i="3"/>
  <c r="I2956" i="3"/>
  <c r="I2949" i="3"/>
  <c r="I2942" i="3"/>
  <c r="I2906" i="3"/>
  <c r="I2897" i="3"/>
  <c r="I2893" i="3"/>
  <c r="I4501" i="3"/>
  <c r="I4498" i="3"/>
  <c r="I4495" i="3"/>
  <c r="I4492" i="3"/>
  <c r="I4489" i="3"/>
  <c r="I4486" i="3"/>
  <c r="I4483" i="3"/>
  <c r="I4480" i="3"/>
  <c r="I3506" i="3"/>
  <c r="I3502" i="3"/>
  <c r="I3498" i="3"/>
  <c r="I3495" i="3"/>
  <c r="I3491" i="3"/>
  <c r="I3488" i="3"/>
  <c r="I3415" i="3"/>
  <c r="I3121" i="3" l="1"/>
  <c r="N3121" i="3" s="1"/>
  <c r="I3111" i="3"/>
  <c r="N3111" i="3" s="1"/>
  <c r="N4501" i="3"/>
  <c r="N4498" i="3"/>
  <c r="N4495" i="3"/>
  <c r="N4492" i="3"/>
  <c r="N4489" i="3"/>
  <c r="N4486" i="3"/>
  <c r="N4483" i="3"/>
  <c r="N4480" i="3"/>
  <c r="N4479" i="3"/>
  <c r="N4478" i="3"/>
  <c r="N4477" i="3"/>
  <c r="N4474" i="3"/>
  <c r="N4472" i="3"/>
  <c r="N4471" i="3"/>
  <c r="N4470" i="3"/>
  <c r="N4469" i="3"/>
  <c r="N4468" i="3"/>
  <c r="N4467" i="3"/>
  <c r="N4464" i="3"/>
  <c r="N4463" i="3"/>
  <c r="N4460" i="3"/>
  <c r="N4459" i="3"/>
  <c r="N4457" i="3"/>
  <c r="N4456" i="3"/>
  <c r="N4455" i="3"/>
  <c r="N4453" i="3"/>
  <c r="N4452" i="3"/>
  <c r="N4451" i="3"/>
  <c r="N4449" i="3"/>
  <c r="N4444" i="3"/>
  <c r="N4443" i="3"/>
  <c r="N4442" i="3"/>
  <c r="N4441" i="3"/>
  <c r="N4440" i="3"/>
  <c r="N4439" i="3"/>
  <c r="N4438" i="3"/>
  <c r="N4437" i="3"/>
  <c r="N4436" i="3"/>
  <c r="N4435" i="3"/>
  <c r="N4434" i="3"/>
  <c r="N4433" i="3"/>
  <c r="N4432" i="3"/>
  <c r="N4431" i="3"/>
  <c r="N4430" i="3"/>
  <c r="N4429" i="3"/>
  <c r="N4428" i="3"/>
  <c r="N4427" i="3"/>
  <c r="N4426" i="3"/>
  <c r="N4425" i="3"/>
  <c r="N4424" i="3"/>
  <c r="N4421" i="3"/>
  <c r="N4412" i="3"/>
  <c r="N4411" i="3"/>
  <c r="N4410" i="3"/>
  <c r="N4409" i="3"/>
  <c r="N4408" i="3"/>
  <c r="N4407" i="3"/>
  <c r="N4406" i="3"/>
  <c r="N4405" i="3"/>
  <c r="N4404" i="3"/>
  <c r="N4401" i="3"/>
  <c r="N4400" i="3"/>
  <c r="N4399" i="3"/>
  <c r="N4392" i="3"/>
  <c r="N4391" i="3"/>
  <c r="N4390" i="3"/>
  <c r="N4389" i="3"/>
  <c r="N4386" i="3"/>
  <c r="N4385" i="3"/>
  <c r="N4384" i="3"/>
  <c r="N4383" i="3"/>
  <c r="N4382" i="3"/>
  <c r="N4381" i="3"/>
  <c r="N4380" i="3"/>
  <c r="N4379" i="3"/>
  <c r="N4376" i="3"/>
  <c r="N4375" i="3"/>
  <c r="N4374" i="3"/>
  <c r="N4373" i="3"/>
  <c r="N4367" i="3"/>
  <c r="N4364" i="3"/>
  <c r="N4363" i="3"/>
  <c r="N4362" i="3"/>
  <c r="N4361" i="3"/>
  <c r="N4360" i="3"/>
  <c r="N4357" i="3"/>
  <c r="N4356" i="3"/>
  <c r="N4353" i="3"/>
  <c r="N4352" i="3"/>
  <c r="N4345" i="3"/>
  <c r="N4344" i="3"/>
  <c r="N4341" i="3"/>
  <c r="N4336" i="3"/>
  <c r="N4333" i="3"/>
  <c r="N4330" i="3"/>
  <c r="N4328" i="3"/>
  <c r="N4325" i="3"/>
  <c r="N4322" i="3"/>
  <c r="N4319" i="3"/>
  <c r="N4316" i="3"/>
  <c r="N4315" i="3"/>
  <c r="N4314" i="3"/>
  <c r="N4313" i="3"/>
  <c r="N4308" i="3"/>
  <c r="N4305" i="3"/>
  <c r="N4302" i="3"/>
  <c r="N4299" i="3"/>
  <c r="N4294" i="3"/>
  <c r="N4289" i="3"/>
  <c r="N4286" i="3"/>
  <c r="N4283" i="3"/>
  <c r="N4280" i="3"/>
  <c r="N4275" i="3"/>
  <c r="N4272" i="3"/>
  <c r="N4267" i="3"/>
  <c r="N4266" i="3"/>
  <c r="N4265" i="3"/>
  <c r="N4262" i="3"/>
  <c r="N4259" i="3"/>
  <c r="N4256" i="3"/>
  <c r="N4251" i="3"/>
  <c r="N4242" i="3"/>
  <c r="N4241" i="3"/>
  <c r="N4240" i="3"/>
  <c r="N4236" i="3"/>
  <c r="N4235" i="3"/>
  <c r="N4234" i="3"/>
  <c r="N4233" i="3"/>
  <c r="N4232" i="3"/>
  <c r="N4231" i="3"/>
  <c r="N4230" i="3"/>
  <c r="N4225" i="3"/>
  <c r="N4223" i="3"/>
  <c r="N4222" i="3"/>
  <c r="N4221" i="3"/>
  <c r="N4220" i="3"/>
  <c r="N4219" i="3"/>
  <c r="N4218" i="3"/>
  <c r="N4215" i="3"/>
  <c r="N4210" i="3"/>
  <c r="N4205" i="3"/>
  <c r="N4203" i="3"/>
  <c r="N4182" i="3"/>
  <c r="N4181" i="3"/>
  <c r="N4179" i="3"/>
  <c r="N4176" i="3"/>
  <c r="N4173" i="3"/>
  <c r="N4166" i="3"/>
  <c r="N4163" i="3"/>
  <c r="N4162" i="3"/>
  <c r="N4159" i="3"/>
  <c r="N4156" i="3"/>
  <c r="N4153" i="3"/>
  <c r="N4150" i="3"/>
  <c r="N4147" i="3"/>
  <c r="N4144" i="3"/>
  <c r="N4141" i="3"/>
  <c r="N4138" i="3"/>
  <c r="N4135" i="3"/>
  <c r="N4132" i="3"/>
  <c r="N4131" i="3"/>
  <c r="N4124" i="3"/>
  <c r="N4121" i="3"/>
  <c r="N4116" i="3"/>
  <c r="N4111" i="3"/>
  <c r="N4108" i="3"/>
  <c r="N4105" i="3"/>
  <c r="N4102" i="3"/>
  <c r="N4099" i="3"/>
  <c r="N4098" i="3"/>
  <c r="N4095" i="3"/>
  <c r="N4093" i="3"/>
  <c r="N4090" i="3"/>
  <c r="N4087" i="3"/>
  <c r="N4084" i="3"/>
  <c r="N4082" i="3"/>
  <c r="N4077" i="3"/>
  <c r="N4076" i="3"/>
  <c r="N4071" i="3"/>
  <c r="N4068" i="3"/>
  <c r="N4065" i="3"/>
  <c r="N4062" i="3"/>
  <c r="N4057" i="3"/>
  <c r="N4054" i="3"/>
  <c r="N4051" i="3"/>
  <c r="N4048" i="3"/>
  <c r="N4046" i="3"/>
  <c r="N4043" i="3"/>
  <c r="N4040" i="3"/>
  <c r="N4037" i="3"/>
  <c r="N4034" i="3"/>
  <c r="N4031" i="3"/>
  <c r="N4028" i="3"/>
  <c r="N4025" i="3"/>
  <c r="N4022" i="3"/>
  <c r="N4019" i="3"/>
  <c r="N4016" i="3"/>
  <c r="N4013" i="3"/>
  <c r="N4011" i="3"/>
  <c r="N4008" i="3"/>
  <c r="N4007" i="3"/>
  <c r="N4005" i="3"/>
  <c r="N4002" i="3"/>
  <c r="N3999" i="3"/>
  <c r="N3996" i="3"/>
  <c r="N3993" i="3"/>
  <c r="N3992" i="3"/>
  <c r="N3989" i="3"/>
  <c r="N3986" i="3"/>
  <c r="N3981" i="3"/>
  <c r="N3978" i="3"/>
  <c r="N3976" i="3"/>
  <c r="N3974" i="3"/>
  <c r="N3971" i="3"/>
  <c r="N3966" i="3"/>
  <c r="N3963" i="3"/>
  <c r="N3960" i="3"/>
  <c r="N3957" i="3"/>
  <c r="N3952" i="3"/>
  <c r="N3949" i="3"/>
  <c r="N3946" i="3"/>
  <c r="N3945" i="3"/>
  <c r="N3942" i="3"/>
  <c r="N3941" i="3"/>
  <c r="N3938" i="3"/>
  <c r="N3937" i="3"/>
  <c r="N3936" i="3"/>
  <c r="N3933" i="3"/>
  <c r="N3930" i="3"/>
  <c r="N3927" i="3"/>
  <c r="N3926" i="3"/>
  <c r="N3923" i="3"/>
  <c r="N3920" i="3"/>
  <c r="N3917" i="3"/>
  <c r="N3915" i="3"/>
  <c r="N3913" i="3"/>
  <c r="N3910" i="3"/>
  <c r="N3909" i="3"/>
  <c r="N3908" i="3"/>
  <c r="N3907" i="3"/>
  <c r="N3906" i="3"/>
  <c r="N3905" i="3"/>
  <c r="N3902" i="3"/>
  <c r="N3899" i="3"/>
  <c r="N3898" i="3"/>
  <c r="N3897" i="3"/>
  <c r="N3896" i="3"/>
  <c r="N3894" i="3"/>
  <c r="N3889" i="3"/>
  <c r="N3888" i="3"/>
  <c r="N3887" i="3"/>
  <c r="N3886" i="3"/>
  <c r="N3885" i="3"/>
  <c r="N3882" i="3"/>
  <c r="N3881" i="3"/>
  <c r="N3877" i="3"/>
  <c r="N3875" i="3"/>
  <c r="N3872" i="3"/>
  <c r="N3871" i="3"/>
  <c r="N3869" i="3"/>
  <c r="N3868" i="3"/>
  <c r="N3863" i="3"/>
  <c r="N3856" i="3"/>
  <c r="N3853" i="3"/>
  <c r="N3846" i="3"/>
  <c r="N3844" i="3"/>
  <c r="N3843" i="3"/>
  <c r="N3842" i="3"/>
  <c r="N3839" i="3"/>
  <c r="N3834" i="3"/>
  <c r="N3833" i="3"/>
  <c r="N3832" i="3"/>
  <c r="N3829" i="3"/>
  <c r="N3822" i="3"/>
  <c r="N3819" i="3"/>
  <c r="N3818" i="3"/>
  <c r="N3817" i="3"/>
  <c r="N3814" i="3"/>
  <c r="N3805" i="3"/>
  <c r="N3802" i="3"/>
  <c r="N3799" i="3"/>
  <c r="N3794" i="3"/>
  <c r="N3791" i="3"/>
  <c r="N3788" i="3"/>
  <c r="N3785" i="3"/>
  <c r="N3780" i="3"/>
  <c r="N3777" i="3"/>
  <c r="N3774" i="3"/>
  <c r="N3771" i="3"/>
  <c r="N3770" i="3"/>
  <c r="N3769" i="3"/>
  <c r="N3768" i="3"/>
  <c r="N3767" i="3"/>
  <c r="N3766" i="3"/>
  <c r="N3763" i="3"/>
  <c r="N3762" i="3"/>
  <c r="N3759" i="3"/>
  <c r="N3758" i="3"/>
  <c r="N3756" i="3"/>
  <c r="N3749" i="3"/>
  <c r="N3748" i="3"/>
  <c r="N3745" i="3"/>
  <c r="N3742" i="3"/>
  <c r="N3741" i="3"/>
  <c r="N3736" i="3"/>
  <c r="N3731" i="3"/>
  <c r="N3726" i="3"/>
  <c r="N3723" i="3"/>
  <c r="N3720" i="3"/>
  <c r="N3717" i="3"/>
  <c r="N3714" i="3"/>
  <c r="N3713" i="3"/>
  <c r="N3712" i="3"/>
  <c r="N3708" i="3"/>
  <c r="N3705" i="3"/>
  <c r="N3700" i="3"/>
  <c r="N3698" i="3"/>
  <c r="N3697" i="3"/>
  <c r="N3691" i="3"/>
  <c r="N3690" i="3"/>
  <c r="N3689" i="3"/>
  <c r="N3688" i="3"/>
  <c r="N3687" i="3"/>
  <c r="N3685" i="3"/>
  <c r="N3684" i="3"/>
  <c r="N3681" i="3"/>
  <c r="N3680" i="3"/>
  <c r="N3679" i="3"/>
  <c r="N3678" i="3"/>
  <c r="N3677" i="3"/>
  <c r="N3674" i="3"/>
  <c r="N3671" i="3"/>
  <c r="N3667" i="3"/>
  <c r="N3666" i="3"/>
  <c r="N3663" i="3"/>
  <c r="N3662" i="3"/>
  <c r="N3660" i="3"/>
  <c r="N3658" i="3"/>
  <c r="N3655" i="3"/>
  <c r="N3650" i="3"/>
  <c r="N3649" i="3"/>
  <c r="N3648" i="3"/>
  <c r="N3647" i="3"/>
  <c r="N3646" i="3"/>
  <c r="N3643" i="3"/>
  <c r="N3640" i="3"/>
  <c r="N3639" i="3"/>
  <c r="N3632" i="3"/>
  <c r="N3630" i="3"/>
  <c r="N3627" i="3"/>
  <c r="N3625" i="3"/>
  <c r="N3620" i="3"/>
  <c r="N3615" i="3"/>
  <c r="N3612" i="3"/>
  <c r="N3605" i="3"/>
  <c r="N3602" i="3"/>
  <c r="N3599" i="3"/>
  <c r="N3596" i="3"/>
  <c r="N3593" i="3"/>
  <c r="N3588" i="3"/>
  <c r="N3585" i="3"/>
  <c r="N3582" i="3"/>
  <c r="N3579" i="3"/>
  <c r="N3576" i="3"/>
  <c r="N3575" i="3"/>
  <c r="N3568" i="3"/>
  <c r="N3563" i="3"/>
  <c r="N3561" i="3"/>
  <c r="N3558" i="3"/>
  <c r="N3555" i="3"/>
  <c r="N3552" i="3"/>
  <c r="N3549" i="3"/>
  <c r="N3548" i="3"/>
  <c r="N3547" i="3"/>
  <c r="N3542" i="3"/>
  <c r="N3539" i="3"/>
  <c r="N3538" i="3"/>
  <c r="N3535" i="3"/>
  <c r="N3534" i="3"/>
  <c r="N3531" i="3"/>
  <c r="N3530" i="3"/>
  <c r="N3527" i="3"/>
  <c r="N3522" i="3"/>
  <c r="N3519" i="3"/>
  <c r="N3517" i="3"/>
  <c r="N3516" i="3"/>
  <c r="N3515" i="3"/>
  <c r="N3514" i="3"/>
  <c r="N3513" i="3"/>
  <c r="N3512" i="3"/>
  <c r="N3509" i="3"/>
  <c r="N3506" i="3"/>
  <c r="N3505" i="3"/>
  <c r="N3502" i="3"/>
  <c r="N3501" i="3"/>
  <c r="N3498" i="3"/>
  <c r="N3495" i="3"/>
  <c r="N3494" i="3"/>
  <c r="N3491" i="3"/>
  <c r="N3488" i="3"/>
  <c r="N3487" i="3"/>
  <c r="N3484" i="3"/>
  <c r="N3483" i="3"/>
  <c r="N3482" i="3"/>
  <c r="N3478" i="3"/>
  <c r="N3477" i="3"/>
  <c r="N3474" i="3"/>
  <c r="N3473" i="3"/>
  <c r="N3472" i="3"/>
  <c r="N3471" i="3"/>
  <c r="N3470" i="3"/>
  <c r="N3469" i="3"/>
  <c r="N3468" i="3"/>
  <c r="N3467" i="3"/>
  <c r="N3466" i="3"/>
  <c r="N3465" i="3"/>
  <c r="N3464" i="3"/>
  <c r="N3463" i="3"/>
  <c r="N3462" i="3"/>
  <c r="N3459" i="3"/>
  <c r="N3456" i="3"/>
  <c r="N3455" i="3"/>
  <c r="N3454" i="3"/>
  <c r="N3453" i="3"/>
  <c r="N3450" i="3"/>
  <c r="N3449" i="3"/>
  <c r="N3444" i="3"/>
  <c r="N3443" i="3"/>
  <c r="N3438" i="3"/>
  <c r="N3437" i="3"/>
  <c r="N3435" i="3"/>
  <c r="N3434" i="3"/>
  <c r="N3433" i="3"/>
  <c r="N3432" i="3"/>
  <c r="N3431" i="3"/>
  <c r="N3430" i="3"/>
  <c r="N3429" i="3"/>
  <c r="N3426" i="3"/>
  <c r="N3425" i="3"/>
  <c r="N3423" i="3"/>
  <c r="N3422" i="3"/>
  <c r="N3421" i="3"/>
  <c r="N3420" i="3"/>
  <c r="N3419" i="3"/>
  <c r="N3418" i="3"/>
  <c r="N3417" i="3"/>
  <c r="N3415" i="3"/>
  <c r="N3414" i="3"/>
  <c r="N3413" i="3"/>
  <c r="N3412" i="3"/>
  <c r="N3407" i="3"/>
  <c r="N3405" i="3"/>
  <c r="N3404" i="3"/>
  <c r="N3401" i="3"/>
  <c r="N3400" i="3"/>
  <c r="N3391" i="3"/>
  <c r="N3388" i="3"/>
  <c r="N3385" i="3"/>
  <c r="N3382" i="3"/>
  <c r="N3381" i="3"/>
  <c r="N3378" i="3"/>
  <c r="N3377" i="3"/>
  <c r="N3376" i="3"/>
  <c r="N3373" i="3"/>
  <c r="N3370" i="3"/>
  <c r="N3369" i="3"/>
  <c r="N3366" i="3"/>
  <c r="N3365" i="3"/>
  <c r="N3363" i="3"/>
  <c r="N3362" i="3"/>
  <c r="N3361" i="3"/>
  <c r="N3358" i="3"/>
  <c r="N3357" i="3"/>
  <c r="N3354" i="3"/>
  <c r="N3351" i="3"/>
  <c r="N3348" i="3"/>
  <c r="N3347" i="3"/>
  <c r="N3344" i="3"/>
  <c r="N3343" i="3"/>
  <c r="N3338" i="3"/>
  <c r="N3337" i="3"/>
  <c r="N3336" i="3"/>
  <c r="N3335" i="3"/>
  <c r="N3332" i="3"/>
  <c r="N3331" i="3"/>
  <c r="N3326" i="3"/>
  <c r="N3323" i="3"/>
  <c r="N3322" i="3"/>
  <c r="N3317" i="3"/>
  <c r="N3314" i="3"/>
  <c r="N3312" i="3"/>
  <c r="N3305" i="3"/>
  <c r="N3302" i="3"/>
  <c r="N3299" i="3"/>
  <c r="N3296" i="3"/>
  <c r="N3293" i="3"/>
  <c r="N3290" i="3"/>
  <c r="N3287" i="3"/>
  <c r="N3284" i="3"/>
  <c r="N3281" i="3"/>
  <c r="N3277" i="3"/>
  <c r="N3274" i="3"/>
  <c r="N3271" i="3"/>
  <c r="N3270" i="3"/>
  <c r="N3267" i="3"/>
  <c r="N3262" i="3"/>
  <c r="N3259" i="3"/>
  <c r="N3258" i="3"/>
  <c r="N3257" i="3"/>
  <c r="N3254" i="3"/>
  <c r="N3251" i="3"/>
  <c r="N3248" i="3"/>
  <c r="N3245" i="3"/>
  <c r="N3240" i="3"/>
  <c r="N3237" i="3"/>
  <c r="N3236" i="3"/>
  <c r="N3232" i="3"/>
  <c r="N3229" i="3"/>
  <c r="N3223" i="3"/>
  <c r="N3222" i="3"/>
  <c r="N3219" i="3"/>
  <c r="N3214" i="3"/>
  <c r="N3211" i="3"/>
  <c r="N3210" i="3"/>
  <c r="N3209" i="3"/>
  <c r="N3208" i="3"/>
  <c r="N3207" i="3"/>
  <c r="N3206" i="3"/>
  <c r="N3205" i="3"/>
  <c r="N3202" i="3"/>
  <c r="N3201" i="3"/>
  <c r="N3198" i="3"/>
  <c r="N3196" i="3"/>
  <c r="N3193" i="3"/>
  <c r="N3188" i="3"/>
  <c r="N3187" i="3"/>
  <c r="N3184" i="3"/>
  <c r="N3183" i="3"/>
  <c r="N3182" i="3"/>
  <c r="N3181" i="3"/>
  <c r="N3180" i="3"/>
  <c r="N3177" i="3"/>
  <c r="N3176" i="3"/>
  <c r="N3171" i="3"/>
  <c r="N3169" i="3"/>
  <c r="N3166" i="3"/>
  <c r="N3165" i="3"/>
  <c r="N3162" i="3"/>
  <c r="N3161" i="3"/>
  <c r="N3160" i="3"/>
  <c r="N3151" i="3"/>
  <c r="N3148" i="3"/>
  <c r="N3141" i="3"/>
  <c r="N3140" i="3"/>
  <c r="N3137" i="3"/>
  <c r="N3132" i="3"/>
  <c r="N3131" i="3"/>
  <c r="N3126" i="3"/>
  <c r="N3125" i="3"/>
  <c r="N3120" i="3"/>
  <c r="N3119" i="3"/>
  <c r="N3118" i="3"/>
  <c r="N3117" i="3"/>
  <c r="N3116" i="3"/>
  <c r="N3115" i="3"/>
  <c r="N3114" i="3"/>
  <c r="N3113" i="3"/>
  <c r="N3109" i="3"/>
  <c r="N3108" i="3"/>
  <c r="N3107" i="3"/>
  <c r="N3106" i="3"/>
  <c r="N3105" i="3"/>
  <c r="N3104" i="3"/>
  <c r="N3103" i="3"/>
  <c r="N3102" i="3"/>
  <c r="N3101" i="3"/>
  <c r="N3100" i="3"/>
  <c r="N3095" i="3"/>
  <c r="N3094" i="3"/>
  <c r="N3093" i="3"/>
  <c r="N3090" i="3"/>
  <c r="N3089" i="3"/>
  <c r="N3088" i="3"/>
  <c r="N3087" i="3"/>
  <c r="N3085" i="3"/>
  <c r="N3084" i="3"/>
  <c r="N3083" i="3"/>
  <c r="N3082" i="3"/>
  <c r="N3080" i="3"/>
  <c r="N3079" i="3"/>
  <c r="N3076" i="3"/>
  <c r="N3074" i="3"/>
  <c r="N3073" i="3"/>
  <c r="N3066" i="3"/>
  <c r="N3063" i="3"/>
  <c r="N3058" i="3"/>
  <c r="N3055" i="3"/>
  <c r="N3054" i="3"/>
  <c r="N3051" i="3"/>
  <c r="N3048" i="3"/>
  <c r="N3045" i="3"/>
  <c r="N3040" i="3"/>
  <c r="N3029" i="3"/>
  <c r="N3028" i="3"/>
  <c r="N3025" i="3"/>
  <c r="N3024" i="3"/>
  <c r="N3023" i="3"/>
  <c r="N3022" i="3"/>
  <c r="N3021" i="3"/>
  <c r="N3019" i="3"/>
  <c r="N3018" i="3"/>
  <c r="N3017" i="3"/>
  <c r="N3014" i="3"/>
  <c r="N3013" i="3"/>
  <c r="N3012" i="3"/>
  <c r="N3009" i="3"/>
  <c r="N3006" i="3"/>
  <c r="N3005" i="3"/>
  <c r="N3000" i="3"/>
  <c r="N2997" i="3"/>
  <c r="N2994" i="3"/>
  <c r="N2993" i="3"/>
  <c r="N2992" i="3"/>
  <c r="N2989" i="3"/>
  <c r="N2986" i="3"/>
  <c r="N2982" i="3"/>
  <c r="N2980" i="3"/>
  <c r="N2977" i="3"/>
  <c r="N2974" i="3"/>
  <c r="N2973" i="3"/>
  <c r="N2972" i="3"/>
  <c r="N2971" i="3"/>
  <c r="N2970" i="3"/>
  <c r="N2967" i="3"/>
  <c r="N2966" i="3"/>
  <c r="N2963" i="3"/>
  <c r="N2962" i="3"/>
  <c r="N2959" i="3"/>
  <c r="N2958" i="3"/>
  <c r="N2956" i="3"/>
  <c r="N2955" i="3"/>
  <c r="N2954" i="3"/>
  <c r="N2953" i="3"/>
  <c r="N2952" i="3"/>
  <c r="N2949" i="3"/>
  <c r="N2948" i="3"/>
  <c r="N2945" i="3"/>
  <c r="N2942" i="3"/>
  <c r="N2941" i="3"/>
  <c r="N2938" i="3"/>
  <c r="N2937" i="3"/>
  <c r="N2934" i="3"/>
  <c r="N2931" i="3"/>
  <c r="N2928" i="3"/>
  <c r="N2923" i="3"/>
  <c r="N2918" i="3"/>
  <c r="N2917" i="3"/>
  <c r="N2916" i="3"/>
  <c r="N2915" i="3"/>
  <c r="N2908" i="3"/>
  <c r="N2906" i="3"/>
  <c r="N2900" i="3"/>
  <c r="N2897" i="3"/>
  <c r="N2896" i="3"/>
  <c r="N2893" i="3"/>
  <c r="N2886" i="3"/>
  <c r="N2883" i="3"/>
  <c r="N2878" i="3"/>
  <c r="N2868" i="3"/>
  <c r="N2865" i="3"/>
  <c r="N2864" i="3"/>
  <c r="N2861" i="3"/>
  <c r="N2860" i="3"/>
  <c r="N2857" i="3"/>
  <c r="N2854" i="3"/>
  <c r="N2851" i="3"/>
  <c r="N2846" i="3"/>
  <c r="N2843" i="3"/>
  <c r="N2840" i="3"/>
  <c r="N2837" i="3"/>
  <c r="N2834" i="3"/>
  <c r="N2833" i="3"/>
  <c r="N2830" i="3"/>
  <c r="N2827" i="3"/>
  <c r="N2824" i="3"/>
  <c r="N2823" i="3"/>
  <c r="N2818" i="3"/>
  <c r="N2815" i="3"/>
  <c r="N3955" i="3" l="1"/>
  <c r="N4297" i="3"/>
  <c r="N2875" i="3"/>
  <c r="N3701" i="3"/>
  <c r="N3144" i="3"/>
  <c r="N3167" i="3"/>
  <c r="N3061" i="3"/>
  <c r="N4254" i="3"/>
  <c r="N2904" i="3"/>
  <c r="N3189" i="3"/>
  <c r="N3669" i="3"/>
  <c r="N4217" i="3"/>
  <c r="N4339" i="3"/>
  <c r="N3754" i="3"/>
  <c r="N2926" i="3"/>
  <c r="N3285" i="3"/>
  <c r="N3694" i="3"/>
  <c r="N3969" i="3"/>
  <c r="N3571" i="3"/>
  <c r="N3279" i="3"/>
  <c r="N3297" i="3"/>
  <c r="N3308" i="3"/>
  <c r="N3398" i="3"/>
  <c r="N3623" i="3"/>
  <c r="N4245" i="3"/>
  <c r="N4278" i="3"/>
  <c r="N4417" i="3"/>
  <c r="N3341" i="3"/>
  <c r="N3808" i="3"/>
  <c r="N3914" i="3"/>
  <c r="N4094" i="3"/>
  <c r="N3566" i="3"/>
  <c r="N4445" i="3"/>
  <c r="N4171" i="3"/>
  <c r="N4204" i="3"/>
  <c r="N4228" i="3"/>
  <c r="N2998" i="3"/>
  <c r="N3032" i="3"/>
  <c r="N3436" i="3"/>
  <c r="N3608" i="3"/>
  <c r="N3633" i="3"/>
  <c r="N3825" i="3"/>
  <c r="N3110" i="3"/>
  <c r="N3129" i="3"/>
  <c r="N3406" i="3"/>
  <c r="N4216" i="3"/>
  <c r="N4290" i="3"/>
  <c r="N2888" i="3"/>
  <c r="N2902" i="3"/>
  <c r="N2995" i="3"/>
  <c r="N3409" i="3"/>
  <c r="N3783" i="3"/>
  <c r="N3797" i="3"/>
  <c r="N3861" i="3"/>
  <c r="N3879" i="3"/>
  <c r="N4080" i="3"/>
  <c r="N4127" i="3"/>
  <c r="N4270" i="3"/>
  <c r="N4415" i="3"/>
  <c r="N3098" i="3"/>
  <c r="N4185" i="3"/>
  <c r="N4201" i="3"/>
  <c r="N3154" i="3"/>
  <c r="N2821" i="3"/>
  <c r="N2981" i="3"/>
  <c r="N4371" i="3"/>
  <c r="N2887" i="3"/>
  <c r="N2921" i="3"/>
  <c r="N3015" i="3"/>
  <c r="N3355" i="3"/>
  <c r="N3480" i="3"/>
  <c r="N3610" i="3"/>
  <c r="N3840" i="3"/>
  <c r="N4129" i="3"/>
  <c r="N4208" i="3"/>
  <c r="N4369" i="3"/>
  <c r="N4419" i="3"/>
  <c r="N2871" i="3"/>
  <c r="N2879" i="3"/>
  <c r="N2890" i="3"/>
  <c r="N3310" i="3"/>
  <c r="N3329" i="3"/>
  <c r="N3352" i="3"/>
  <c r="N3411" i="3"/>
  <c r="N3892" i="3"/>
  <c r="N3895" i="3"/>
  <c r="N4074" i="3"/>
  <c r="N2909" i="3"/>
  <c r="N2913" i="3"/>
  <c r="N2990" i="3"/>
  <c r="N3001" i="3"/>
  <c r="N3146" i="3"/>
  <c r="N3349" i="3"/>
  <c r="N3739" i="3"/>
  <c r="N3752" i="3"/>
  <c r="N4193" i="3"/>
  <c r="N4311" i="3"/>
  <c r="N2874" i="3"/>
  <c r="N2901" i="3"/>
  <c r="N2911" i="3"/>
  <c r="N2984" i="3"/>
  <c r="N3003" i="3"/>
  <c r="N3034" i="3"/>
  <c r="N3043" i="3"/>
  <c r="N3049" i="3"/>
  <c r="N3069" i="3"/>
  <c r="N3178" i="3"/>
  <c r="N3249" i="3"/>
  <c r="N3320" i="3"/>
  <c r="N3460" i="3"/>
  <c r="N3510" i="3"/>
  <c r="N3545" i="3"/>
  <c r="N3810" i="3"/>
  <c r="N3823" i="3"/>
  <c r="N3859" i="3"/>
  <c r="N4003" i="3"/>
  <c r="N4114" i="3"/>
  <c r="N4180" i="3"/>
  <c r="N4348" i="3"/>
  <c r="N4402" i="3"/>
  <c r="N2884" i="3"/>
  <c r="N2935" i="3"/>
  <c r="N3046" i="3"/>
  <c r="N3067" i="3"/>
  <c r="N3152" i="3"/>
  <c r="N3158" i="3"/>
  <c r="N3228" i="3"/>
  <c r="N3234" i="3"/>
  <c r="N3243" i="3"/>
  <c r="N3291" i="3"/>
  <c r="N3447" i="3"/>
  <c r="N3628" i="3"/>
  <c r="N3644" i="3"/>
  <c r="N3710" i="3"/>
  <c r="N3724" i="3"/>
  <c r="N3827" i="3"/>
  <c r="N3849" i="3"/>
  <c r="N3951" i="3"/>
  <c r="N4119" i="3"/>
  <c r="N4151" i="3"/>
  <c r="N4187" i="3"/>
  <c r="N4197" i="3"/>
  <c r="N2946" i="3"/>
  <c r="N3096" i="3"/>
  <c r="N3255" i="3"/>
  <c r="N3306" i="3"/>
  <c r="N3485" i="3"/>
  <c r="N3591" i="3"/>
  <c r="N3635" i="3"/>
  <c r="N3984" i="3"/>
  <c r="N4191" i="3"/>
  <c r="N4206" i="3"/>
  <c r="N4397" i="3"/>
  <c r="N3041" i="3"/>
  <c r="N3071" i="3"/>
  <c r="N3135" i="3"/>
  <c r="N3156" i="3"/>
  <c r="N3174" i="3"/>
  <c r="N3303" i="3"/>
  <c r="N3573" i="3"/>
  <c r="N3618" i="3"/>
  <c r="N3696" i="3"/>
  <c r="N3703" i="3"/>
  <c r="N4169" i="3"/>
  <c r="N3396" i="3"/>
  <c r="N3525" i="3"/>
  <c r="N4447" i="3"/>
  <c r="N2849" i="3"/>
  <c r="N2892" i="3"/>
  <c r="N3036" i="3"/>
  <c r="N3077" i="3"/>
  <c r="N3217" i="3"/>
  <c r="N3653" i="3"/>
  <c r="N3812" i="3"/>
  <c r="N3837" i="3"/>
  <c r="N3851" i="3"/>
  <c r="N4189" i="3"/>
  <c r="N4195" i="3"/>
  <c r="N4350" i="3"/>
  <c r="N4395" i="3"/>
  <c r="N2905" i="3"/>
  <c r="N2978" i="3"/>
  <c r="N3124" i="3"/>
  <c r="N3143" i="3"/>
  <c r="N3191" i="3"/>
  <c r="N3226" i="3"/>
  <c r="N3233" i="3"/>
  <c r="N3265" i="3"/>
  <c r="N3394" i="3"/>
  <c r="N3441" i="3"/>
  <c r="N4247" i="3"/>
  <c r="N4292" i="3"/>
  <c r="N4465" i="3"/>
  <c r="N2876" i="3"/>
  <c r="N2919" i="3"/>
  <c r="N2939" i="3"/>
  <c r="N3038" i="3"/>
  <c r="N2872" i="3"/>
  <c r="N2929" i="3"/>
  <c r="N2932" i="3"/>
  <c r="N2881" i="3"/>
  <c r="N2924" i="3"/>
  <c r="N2968" i="3"/>
  <c r="N3866" i="3"/>
  <c r="N4213" i="3"/>
  <c r="N4238" i="3"/>
  <c r="N4287" i="3"/>
  <c r="N3729" i="3"/>
  <c r="N3815" i="3"/>
  <c r="N4249" i="3"/>
  <c r="N3734" i="3"/>
  <c r="N3857" i="3"/>
  <c r="N4060" i="3"/>
  <c r="N4226" i="3"/>
  <c r="N4358" i="3"/>
  <c r="N3637" i="3"/>
  <c r="N4199" i="3"/>
  <c r="M2362" i="3" l="1"/>
  <c r="L2362" i="3"/>
  <c r="M2361" i="3"/>
  <c r="L2361" i="3"/>
  <c r="M2357" i="3"/>
  <c r="L2357" i="3"/>
  <c r="M2353" i="3"/>
  <c r="L2353" i="3"/>
  <c r="K2400" i="3"/>
  <c r="J2400" i="3"/>
  <c r="I2400" i="3"/>
  <c r="K2398" i="3"/>
  <c r="J2398" i="3"/>
  <c r="I2398" i="3"/>
  <c r="K2396" i="3"/>
  <c r="J2396" i="3"/>
  <c r="I2396" i="3"/>
  <c r="K2375" i="3"/>
  <c r="J2375" i="3"/>
  <c r="I2375" i="3"/>
  <c r="K2370" i="3"/>
  <c r="J2370" i="3"/>
  <c r="I2370" i="3"/>
  <c r="K2351" i="3"/>
  <c r="J2351" i="3"/>
  <c r="I2351" i="3"/>
  <c r="I2354" i="3"/>
  <c r="I2348" i="3"/>
  <c r="M1826" i="3"/>
  <c r="L1826" i="3"/>
  <c r="M1825" i="3"/>
  <c r="L1825" i="3"/>
  <c r="M1824" i="3"/>
  <c r="L1824" i="3"/>
  <c r="K1897" i="3"/>
  <c r="J1897" i="3"/>
  <c r="I1897" i="3"/>
  <c r="K1881" i="3"/>
  <c r="J1881" i="3"/>
  <c r="I1881" i="3"/>
  <c r="K1879" i="3"/>
  <c r="J1879" i="3"/>
  <c r="I1879" i="3"/>
  <c r="K1873" i="3"/>
  <c r="J1873" i="3"/>
  <c r="I1873" i="3"/>
  <c r="K1866" i="3"/>
  <c r="J1866" i="3"/>
  <c r="I1866" i="3"/>
  <c r="K1864" i="3"/>
  <c r="J1864" i="3"/>
  <c r="I1864" i="3"/>
  <c r="K1853" i="3"/>
  <c r="J1853" i="3"/>
  <c r="I1853" i="3"/>
  <c r="K1843" i="3"/>
  <c r="J1843" i="3"/>
  <c r="I1843" i="3"/>
  <c r="I1827" i="3"/>
  <c r="M1782" i="3"/>
  <c r="L1782" i="3"/>
  <c r="M1781" i="3"/>
  <c r="L1781" i="3"/>
  <c r="M1780" i="3"/>
  <c r="L1780" i="3"/>
  <c r="M1779" i="3"/>
  <c r="L1779" i="3"/>
  <c r="M1778" i="3"/>
  <c r="L1778" i="3"/>
  <c r="K1799" i="3"/>
  <c r="J1799" i="3"/>
  <c r="I1799" i="3"/>
  <c r="I1812" i="3"/>
  <c r="I1803" i="3"/>
  <c r="I1796" i="3"/>
  <c r="I1786" i="3"/>
  <c r="M828" i="3"/>
  <c r="L828" i="3"/>
  <c r="M827" i="3"/>
  <c r="L827" i="3"/>
  <c r="M826" i="3"/>
  <c r="L826" i="3"/>
  <c r="M825" i="3"/>
  <c r="L825" i="3"/>
  <c r="M822" i="3"/>
  <c r="L822" i="3"/>
  <c r="M816" i="3"/>
  <c r="L816" i="3"/>
  <c r="M815" i="3"/>
  <c r="L815" i="3"/>
  <c r="M812" i="3"/>
  <c r="L812" i="3"/>
  <c r="M811" i="3"/>
  <c r="L811" i="3"/>
  <c r="M810" i="3"/>
  <c r="L810" i="3"/>
  <c r="M809" i="3"/>
  <c r="L809" i="3"/>
  <c r="M806" i="3"/>
  <c r="L806" i="3"/>
  <c r="M802" i="3"/>
  <c r="L802" i="3"/>
  <c r="M791" i="3"/>
  <c r="L791" i="3"/>
  <c r="M790" i="3"/>
  <c r="L790" i="3"/>
  <c r="M789" i="3"/>
  <c r="L789" i="3"/>
  <c r="M781" i="3"/>
  <c r="L781" i="3"/>
  <c r="M780" i="3"/>
  <c r="L780" i="3"/>
  <c r="M773" i="3"/>
  <c r="L773" i="3"/>
  <c r="M772" i="3"/>
  <c r="L772" i="3"/>
  <c r="M769" i="3"/>
  <c r="L769" i="3"/>
  <c r="M766" i="3"/>
  <c r="L766" i="3"/>
  <c r="M765" i="3"/>
  <c r="L765" i="3"/>
  <c r="M764" i="3"/>
  <c r="L764" i="3"/>
  <c r="M760" i="3"/>
  <c r="L760" i="3"/>
  <c r="M759" i="3"/>
  <c r="L759" i="3"/>
  <c r="M758" i="3"/>
  <c r="L758" i="3"/>
  <c r="M754" i="3"/>
  <c r="L754" i="3"/>
  <c r="M753" i="3"/>
  <c r="L753" i="3"/>
  <c r="M752" i="3"/>
  <c r="L752" i="3"/>
  <c r="M735" i="3"/>
  <c r="L735" i="3"/>
  <c r="M728" i="3"/>
  <c r="L728" i="3"/>
  <c r="M722" i="3"/>
  <c r="L722" i="3"/>
  <c r="M715" i="3"/>
  <c r="L715" i="3"/>
  <c r="M697" i="3"/>
  <c r="L697" i="3"/>
  <c r="M696" i="3"/>
  <c r="L696" i="3"/>
  <c r="M686" i="3"/>
  <c r="L686" i="3"/>
  <c r="M682" i="3"/>
  <c r="L682" i="3"/>
  <c r="M678" i="3"/>
  <c r="L678" i="3"/>
  <c r="M675" i="3"/>
  <c r="L675" i="3"/>
  <c r="M674" i="3"/>
  <c r="L674" i="3"/>
  <c r="M658" i="3"/>
  <c r="L658" i="3"/>
  <c r="M631" i="3"/>
  <c r="L631" i="3"/>
  <c r="M630" i="3"/>
  <c r="L630" i="3"/>
  <c r="M623" i="3"/>
  <c r="L623" i="3"/>
  <c r="K823" i="3"/>
  <c r="J823" i="3"/>
  <c r="I823" i="3"/>
  <c r="K820" i="3"/>
  <c r="J820" i="3"/>
  <c r="I820" i="3"/>
  <c r="K808" i="3"/>
  <c r="J808" i="3"/>
  <c r="I808" i="3"/>
  <c r="K807" i="3"/>
  <c r="J807" i="3"/>
  <c r="I807" i="3"/>
  <c r="K797" i="3"/>
  <c r="J797" i="3"/>
  <c r="I797" i="3"/>
  <c r="K792" i="3"/>
  <c r="J792" i="3"/>
  <c r="I792" i="3"/>
  <c r="K784" i="3"/>
  <c r="J784" i="3"/>
  <c r="I784" i="3"/>
  <c r="K782" i="3"/>
  <c r="J782" i="3"/>
  <c r="I782" i="3"/>
  <c r="K770" i="3"/>
  <c r="J770" i="3"/>
  <c r="I770" i="3"/>
  <c r="K755" i="3"/>
  <c r="J755" i="3"/>
  <c r="I755" i="3"/>
  <c r="K750" i="3"/>
  <c r="J750" i="3"/>
  <c r="I750" i="3"/>
  <c r="K723" i="3"/>
  <c r="J723" i="3"/>
  <c r="I723" i="3"/>
  <c r="K713" i="3"/>
  <c r="J713" i="3"/>
  <c r="I713" i="3"/>
  <c r="K676" i="3"/>
  <c r="J676" i="3"/>
  <c r="I676" i="3"/>
  <c r="K672" i="3"/>
  <c r="J672" i="3"/>
  <c r="I672" i="3"/>
  <c r="K647" i="3"/>
  <c r="J647" i="3"/>
  <c r="I647" i="3"/>
  <c r="I817" i="3"/>
  <c r="I813" i="3"/>
  <c r="I803" i="3"/>
  <c r="I799" i="3"/>
  <c r="I794" i="3"/>
  <c r="I786" i="3"/>
  <c r="I777" i="3"/>
  <c r="I774" i="3"/>
  <c r="I767" i="3"/>
  <c r="I761" i="3"/>
  <c r="I756" i="3"/>
  <c r="I747" i="3"/>
  <c r="I745" i="3"/>
  <c r="I742" i="3"/>
  <c r="I739" i="3"/>
  <c r="I736" i="3"/>
  <c r="I732" i="3"/>
  <c r="I729" i="3"/>
  <c r="I725" i="3"/>
  <c r="I719" i="3"/>
  <c r="I716" i="3"/>
  <c r="I710" i="3"/>
  <c r="I707" i="3"/>
  <c r="I704" i="3"/>
  <c r="I701" i="3"/>
  <c r="I698" i="3"/>
  <c r="I693" i="3"/>
  <c r="I690" i="3"/>
  <c r="I687" i="3"/>
  <c r="I683" i="3"/>
  <c r="I679" i="3"/>
  <c r="I670" i="3"/>
  <c r="I668" i="3"/>
  <c r="I665" i="3"/>
  <c r="I662" i="3"/>
  <c r="I659" i="3"/>
  <c r="I655" i="3"/>
  <c r="I652" i="3"/>
  <c r="I649" i="3"/>
  <c r="I644" i="3"/>
  <c r="I641" i="3"/>
  <c r="I638" i="3"/>
  <c r="I635" i="3"/>
  <c r="I632" i="3"/>
  <c r="I627" i="3"/>
  <c r="I624" i="3"/>
  <c r="I620" i="3"/>
  <c r="I615" i="3"/>
  <c r="I612" i="3"/>
  <c r="M1084" i="3"/>
  <c r="L1084" i="3"/>
  <c r="K1141" i="3"/>
  <c r="J1141" i="3"/>
  <c r="I1141" i="3"/>
  <c r="K1137" i="3"/>
  <c r="J1137" i="3"/>
  <c r="I1137" i="3"/>
  <c r="K1127" i="3"/>
  <c r="J1127" i="3"/>
  <c r="I1127" i="3"/>
  <c r="K1125" i="3"/>
  <c r="J1125" i="3"/>
  <c r="I1125" i="3"/>
  <c r="K1115" i="3"/>
  <c r="J1115" i="3"/>
  <c r="I1115" i="3"/>
  <c r="K1112" i="3"/>
  <c r="J1112" i="3"/>
  <c r="I1112" i="3"/>
  <c r="K1109" i="3"/>
  <c r="J1109" i="3"/>
  <c r="I1109" i="3"/>
  <c r="K1107" i="3"/>
  <c r="J1107" i="3"/>
  <c r="I1107" i="3"/>
  <c r="K1098" i="3"/>
  <c r="J1098" i="3"/>
  <c r="I1098" i="3"/>
  <c r="K1093" i="3"/>
  <c r="J1093" i="3"/>
  <c r="I1093" i="3"/>
  <c r="K1091" i="3"/>
  <c r="J1091" i="3"/>
  <c r="I1091" i="3"/>
  <c r="K1089" i="3"/>
  <c r="J1089" i="3"/>
  <c r="I1089" i="3"/>
  <c r="I1145" i="3"/>
  <c r="I1134" i="3"/>
  <c r="I1129" i="3"/>
  <c r="I1122" i="3"/>
  <c r="I1116" i="3"/>
  <c r="I1103" i="3"/>
  <c r="M426" i="3"/>
  <c r="L426" i="3"/>
  <c r="M424" i="3"/>
  <c r="L424" i="3"/>
  <c r="M404" i="3"/>
  <c r="L404" i="3"/>
  <c r="M396" i="3"/>
  <c r="L396" i="3"/>
  <c r="M392" i="3"/>
  <c r="L392" i="3"/>
  <c r="M388" i="3"/>
  <c r="L388" i="3"/>
  <c r="M387" i="3"/>
  <c r="L387" i="3"/>
  <c r="M375" i="3"/>
  <c r="L375" i="3"/>
  <c r="M372" i="3"/>
  <c r="L372" i="3"/>
  <c r="M369" i="3"/>
  <c r="L369" i="3"/>
  <c r="M365" i="3"/>
  <c r="L365" i="3"/>
  <c r="M359" i="3"/>
  <c r="L359" i="3"/>
  <c r="M353" i="3"/>
  <c r="L353" i="3"/>
  <c r="M343" i="3"/>
  <c r="L343" i="3"/>
  <c r="M338" i="3"/>
  <c r="L338" i="3"/>
  <c r="M334" i="3"/>
  <c r="L334" i="3"/>
  <c r="M333" i="3"/>
  <c r="L333" i="3"/>
  <c r="M329" i="3"/>
  <c r="L329" i="3"/>
  <c r="M328" i="3"/>
  <c r="L328" i="3"/>
  <c r="M327" i="3"/>
  <c r="L327" i="3"/>
  <c r="M326" i="3"/>
  <c r="L326" i="3"/>
  <c r="M325" i="3"/>
  <c r="L325" i="3"/>
  <c r="M324" i="3"/>
  <c r="L324" i="3"/>
  <c r="M320" i="3"/>
  <c r="L320" i="3"/>
  <c r="M319" i="3"/>
  <c r="L319" i="3"/>
  <c r="M316" i="3"/>
  <c r="L316" i="3"/>
  <c r="M315" i="3"/>
  <c r="L315" i="3"/>
  <c r="M311" i="3"/>
  <c r="L311" i="3"/>
  <c r="M310" i="3"/>
  <c r="L310" i="3"/>
  <c r="M309" i="3"/>
  <c r="L309" i="3"/>
  <c r="M308" i="3"/>
  <c r="L308" i="3"/>
  <c r="M307" i="3"/>
  <c r="L307" i="3"/>
  <c r="M296" i="3"/>
  <c r="L296" i="3"/>
  <c r="M293" i="3"/>
  <c r="L293" i="3"/>
  <c r="M261" i="3"/>
  <c r="L261" i="3"/>
  <c r="M239" i="3"/>
  <c r="L239" i="3"/>
  <c r="M233" i="3"/>
  <c r="L233" i="3"/>
  <c r="M229" i="3"/>
  <c r="L229" i="3"/>
  <c r="M223" i="3"/>
  <c r="L223" i="3"/>
  <c r="M204" i="3"/>
  <c r="L204" i="3"/>
  <c r="M200" i="3"/>
  <c r="L200" i="3"/>
  <c r="M199" i="3"/>
  <c r="L199" i="3"/>
  <c r="M192" i="3"/>
  <c r="L192" i="3"/>
  <c r="M176" i="3"/>
  <c r="L176" i="3"/>
  <c r="M175" i="3"/>
  <c r="L175" i="3"/>
  <c r="M171" i="3"/>
  <c r="L171" i="3"/>
  <c r="M157" i="3"/>
  <c r="L157" i="3"/>
  <c r="M114" i="3"/>
  <c r="L114" i="3"/>
  <c r="M113" i="3"/>
  <c r="L113" i="3"/>
  <c r="M112" i="3"/>
  <c r="L112" i="3"/>
  <c r="M111" i="3"/>
  <c r="L111" i="3"/>
  <c r="M110" i="3"/>
  <c r="L110" i="3"/>
  <c r="M107" i="3"/>
  <c r="L107" i="3"/>
  <c r="M78" i="3"/>
  <c r="L78" i="3"/>
  <c r="M34" i="3"/>
  <c r="L34" i="3"/>
  <c r="M33" i="3"/>
  <c r="L33" i="3"/>
  <c r="M32" i="3"/>
  <c r="L32" i="3"/>
  <c r="M31" i="3"/>
  <c r="L31" i="3"/>
  <c r="M28" i="3"/>
  <c r="L28" i="3"/>
  <c r="M27" i="3"/>
  <c r="L27" i="3"/>
  <c r="M22" i="3"/>
  <c r="L22" i="3"/>
  <c r="K425" i="3"/>
  <c r="J425" i="3"/>
  <c r="I425" i="3"/>
  <c r="K407" i="3"/>
  <c r="J407" i="3"/>
  <c r="I407" i="3"/>
  <c r="K405" i="3"/>
  <c r="J405" i="3"/>
  <c r="I405" i="3"/>
  <c r="K399" i="3"/>
  <c r="J399" i="3"/>
  <c r="I399" i="3"/>
  <c r="K385" i="3"/>
  <c r="J385" i="3"/>
  <c r="I385" i="3"/>
  <c r="K373" i="3"/>
  <c r="J373" i="3"/>
  <c r="I373" i="3"/>
  <c r="K370" i="3"/>
  <c r="J370" i="3"/>
  <c r="I370" i="3"/>
  <c r="K357" i="3"/>
  <c r="J357" i="3"/>
  <c r="I357" i="3"/>
  <c r="K341" i="3"/>
  <c r="J341" i="3"/>
  <c r="I341" i="3"/>
  <c r="K332" i="3"/>
  <c r="J332" i="3"/>
  <c r="I332" i="3"/>
  <c r="K330" i="3"/>
  <c r="J330" i="3"/>
  <c r="I330" i="3"/>
  <c r="K321" i="3"/>
  <c r="J321" i="3"/>
  <c r="I321" i="3"/>
  <c r="K305" i="3"/>
  <c r="J305" i="3"/>
  <c r="I305" i="3"/>
  <c r="K297" i="3"/>
  <c r="J297" i="3"/>
  <c r="I297" i="3"/>
  <c r="K283" i="3"/>
  <c r="J283" i="3"/>
  <c r="I283" i="3"/>
  <c r="K272" i="3"/>
  <c r="J272" i="3"/>
  <c r="I272" i="3"/>
  <c r="K262" i="3"/>
  <c r="J262" i="3"/>
  <c r="I262" i="3"/>
  <c r="K254" i="3"/>
  <c r="J254" i="3"/>
  <c r="I254" i="3"/>
  <c r="K252" i="3"/>
  <c r="J252" i="3"/>
  <c r="I252" i="3"/>
  <c r="K247" i="3"/>
  <c r="J247" i="3"/>
  <c r="I247" i="3"/>
  <c r="K243" i="3"/>
  <c r="J243" i="3"/>
  <c r="I243" i="3"/>
  <c r="K224" i="3"/>
  <c r="J224" i="3"/>
  <c r="I224" i="3"/>
  <c r="K213" i="3"/>
  <c r="J213" i="3"/>
  <c r="I213" i="3"/>
  <c r="K208" i="3"/>
  <c r="J208" i="3"/>
  <c r="I208" i="3"/>
  <c r="K197" i="3"/>
  <c r="J197" i="3"/>
  <c r="I197" i="3"/>
  <c r="K195" i="3"/>
  <c r="J195" i="3"/>
  <c r="I195" i="3"/>
  <c r="K190" i="3"/>
  <c r="J190" i="3"/>
  <c r="I190" i="3"/>
  <c r="K188" i="3"/>
  <c r="J188" i="3"/>
  <c r="I188" i="3"/>
  <c r="K186" i="3"/>
  <c r="J186" i="3"/>
  <c r="I186" i="3"/>
  <c r="K174" i="3"/>
  <c r="J174" i="3"/>
  <c r="I174" i="3"/>
  <c r="K172" i="3"/>
  <c r="J172" i="3"/>
  <c r="I172" i="3"/>
  <c r="K169" i="3"/>
  <c r="J169" i="3"/>
  <c r="I169" i="3"/>
  <c r="K149" i="3"/>
  <c r="J149" i="3"/>
  <c r="I149" i="3"/>
  <c r="K147" i="3"/>
  <c r="J147" i="3"/>
  <c r="I147" i="3"/>
  <c r="K128" i="3"/>
  <c r="J128" i="3"/>
  <c r="I128" i="3"/>
  <c r="K118" i="3"/>
  <c r="J118" i="3"/>
  <c r="I118" i="3"/>
  <c r="K108" i="3"/>
  <c r="J108" i="3"/>
  <c r="I108" i="3"/>
  <c r="K94" i="3"/>
  <c r="J94" i="3"/>
  <c r="I94" i="3"/>
  <c r="K92" i="3"/>
  <c r="J92" i="3"/>
  <c r="I92" i="3"/>
  <c r="K79" i="3"/>
  <c r="J79" i="3"/>
  <c r="I79" i="3"/>
  <c r="K76" i="3"/>
  <c r="J76" i="3"/>
  <c r="I76" i="3"/>
  <c r="K74" i="3"/>
  <c r="J74" i="3"/>
  <c r="I74" i="3"/>
  <c r="K72" i="3"/>
  <c r="J72" i="3"/>
  <c r="I72" i="3"/>
  <c r="K67" i="3"/>
  <c r="J67" i="3"/>
  <c r="I67" i="3"/>
  <c r="K65" i="3"/>
  <c r="J65" i="3"/>
  <c r="I65" i="3"/>
  <c r="K51" i="3"/>
  <c r="J51" i="3"/>
  <c r="I51" i="3"/>
  <c r="K46" i="3"/>
  <c r="J46" i="3"/>
  <c r="I46" i="3"/>
  <c r="K30" i="3"/>
  <c r="J30" i="3"/>
  <c r="I30" i="3"/>
  <c r="K29" i="3"/>
  <c r="J29" i="3"/>
  <c r="I29" i="3"/>
  <c r="K26" i="3"/>
  <c r="J26" i="3"/>
  <c r="I26" i="3"/>
  <c r="I438" i="3"/>
  <c r="I435" i="3"/>
  <c r="I432" i="3"/>
  <c r="I429" i="3"/>
  <c r="I421" i="3"/>
  <c r="I418" i="3"/>
  <c r="I415" i="3"/>
  <c r="I412" i="3"/>
  <c r="I409" i="3"/>
  <c r="I401" i="3"/>
  <c r="I397" i="3"/>
  <c r="I393" i="3"/>
  <c r="I389" i="3"/>
  <c r="I382" i="3"/>
  <c r="I379" i="3"/>
  <c r="I376" i="3"/>
  <c r="I366" i="3"/>
  <c r="I363" i="3"/>
  <c r="I360" i="3"/>
  <c r="I354" i="3"/>
  <c r="I350" i="3"/>
  <c r="I347" i="3"/>
  <c r="I344" i="3"/>
  <c r="I339" i="3"/>
  <c r="I335" i="3"/>
  <c r="I323" i="3"/>
  <c r="I317" i="3"/>
  <c r="I312" i="3"/>
  <c r="I302" i="3"/>
  <c r="I299" i="3"/>
  <c r="I294" i="3"/>
  <c r="I291" i="3"/>
  <c r="I288" i="3"/>
  <c r="I285" i="3"/>
  <c r="I280" i="3"/>
  <c r="I277" i="3"/>
  <c r="I274" i="3"/>
  <c r="I270" i="3"/>
  <c r="I267" i="3"/>
  <c r="I264" i="3"/>
  <c r="I259" i="3"/>
  <c r="I256" i="3"/>
  <c r="I249" i="3"/>
  <c r="I245" i="3"/>
  <c r="I240" i="3"/>
  <c r="I236" i="3"/>
  <c r="I234" i="3"/>
  <c r="I230" i="3"/>
  <c r="I226" i="3"/>
  <c r="I220" i="3"/>
  <c r="I218" i="3"/>
  <c r="I215" i="3"/>
  <c r="I210" i="3"/>
  <c r="I205" i="3"/>
  <c r="I201" i="3"/>
  <c r="I193" i="3"/>
  <c r="I183" i="3"/>
  <c r="I180" i="3"/>
  <c r="I177" i="3"/>
  <c r="I166" i="3"/>
  <c r="I163" i="3"/>
  <c r="I160" i="3"/>
  <c r="I158" i="3"/>
  <c r="I154" i="3"/>
  <c r="I151" i="3"/>
  <c r="I145" i="3"/>
  <c r="I142" i="3"/>
  <c r="I139" i="3"/>
  <c r="I136" i="3"/>
  <c r="I133" i="3"/>
  <c r="I130" i="3"/>
  <c r="I125" i="3"/>
  <c r="I122" i="3"/>
  <c r="I120" i="3"/>
  <c r="I115" i="3"/>
  <c r="I104" i="3"/>
  <c r="I101" i="3"/>
  <c r="I99" i="3"/>
  <c r="I96" i="3"/>
  <c r="I89" i="3"/>
  <c r="I87" i="3"/>
  <c r="I84" i="3"/>
  <c r="I81" i="3"/>
  <c r="I69" i="3"/>
  <c r="I62" i="3"/>
  <c r="I59" i="3"/>
  <c r="I56" i="3"/>
  <c r="I53" i="3"/>
  <c r="I48" i="3"/>
  <c r="I44" i="3"/>
  <c r="I41" i="3"/>
  <c r="I38" i="3"/>
  <c r="I35" i="3"/>
  <c r="I23" i="3"/>
  <c r="I20" i="3"/>
  <c r="I17" i="3"/>
  <c r="I12" i="3"/>
  <c r="I9" i="3"/>
  <c r="I6" i="3"/>
  <c r="M607" i="3"/>
  <c r="L607" i="3"/>
  <c r="M606" i="3"/>
  <c r="L606" i="3"/>
  <c r="M603" i="3"/>
  <c r="L603" i="3"/>
  <c r="M593" i="3"/>
  <c r="L593" i="3"/>
  <c r="M592" i="3"/>
  <c r="L592" i="3"/>
  <c r="M588" i="3"/>
  <c r="L588" i="3"/>
  <c r="M575" i="3"/>
  <c r="L575" i="3"/>
  <c r="M574" i="3"/>
  <c r="L574" i="3"/>
  <c r="M573" i="3"/>
  <c r="L573" i="3"/>
  <c r="M570" i="3"/>
  <c r="L570" i="3"/>
  <c r="M562" i="3"/>
  <c r="L562" i="3"/>
  <c r="M561" i="3"/>
  <c r="L561" i="3"/>
  <c r="M554" i="3"/>
  <c r="L554" i="3"/>
  <c r="M551" i="3"/>
  <c r="L551" i="3"/>
  <c r="M545" i="3"/>
  <c r="L545" i="3"/>
  <c r="M544" i="3"/>
  <c r="L544" i="3"/>
  <c r="M543" i="3"/>
  <c r="L543" i="3"/>
  <c r="M542" i="3"/>
  <c r="L542" i="3"/>
  <c r="M541" i="3"/>
  <c r="L541" i="3"/>
  <c r="M540" i="3"/>
  <c r="L540" i="3"/>
  <c r="M539" i="3"/>
  <c r="L539" i="3"/>
  <c r="M530" i="3"/>
  <c r="L530" i="3"/>
  <c r="M523" i="3"/>
  <c r="L523" i="3"/>
  <c r="M517" i="3"/>
  <c r="L517" i="3"/>
  <c r="M516" i="3"/>
  <c r="L516" i="3"/>
  <c r="M515" i="3"/>
  <c r="L515" i="3"/>
  <c r="M514" i="3"/>
  <c r="L514" i="3"/>
  <c r="M513" i="3"/>
  <c r="L513" i="3"/>
  <c r="M512" i="3"/>
  <c r="L512" i="3"/>
  <c r="M511" i="3"/>
  <c r="L511" i="3"/>
  <c r="M510" i="3"/>
  <c r="L510" i="3"/>
  <c r="M509" i="3"/>
  <c r="L509" i="3"/>
  <c r="M497" i="3"/>
  <c r="L497" i="3"/>
  <c r="M481" i="3"/>
  <c r="L481" i="3"/>
  <c r="M480" i="3"/>
  <c r="L480" i="3"/>
  <c r="M474" i="3"/>
  <c r="L474" i="3"/>
  <c r="K601" i="3"/>
  <c r="J601" i="3"/>
  <c r="I601" i="3"/>
  <c r="K599" i="3"/>
  <c r="J599" i="3"/>
  <c r="I599" i="3"/>
  <c r="K596" i="3"/>
  <c r="J596" i="3"/>
  <c r="I596" i="3"/>
  <c r="K594" i="3"/>
  <c r="J594" i="3"/>
  <c r="I594" i="3"/>
  <c r="K590" i="3"/>
  <c r="J590" i="3"/>
  <c r="I590" i="3"/>
  <c r="K589" i="3"/>
  <c r="J589" i="3"/>
  <c r="I589" i="3"/>
  <c r="K583" i="3"/>
  <c r="J583" i="3"/>
  <c r="I583" i="3"/>
  <c r="K576" i="3"/>
  <c r="J576" i="3"/>
  <c r="I576" i="3"/>
  <c r="K559" i="3"/>
  <c r="J559" i="3"/>
  <c r="I559" i="3"/>
  <c r="K557" i="3"/>
  <c r="J557" i="3"/>
  <c r="I557" i="3"/>
  <c r="K555" i="3"/>
  <c r="J555" i="3"/>
  <c r="I555" i="3"/>
  <c r="K549" i="3"/>
  <c r="J549" i="3"/>
  <c r="I549" i="3"/>
  <c r="K537" i="3"/>
  <c r="J537" i="3"/>
  <c r="I537" i="3"/>
  <c r="K524" i="3"/>
  <c r="J524" i="3"/>
  <c r="I524" i="3"/>
  <c r="K508" i="3"/>
  <c r="J508" i="3"/>
  <c r="I508" i="3"/>
  <c r="K507" i="3"/>
  <c r="J507" i="3"/>
  <c r="I507" i="3"/>
  <c r="K475" i="3"/>
  <c r="J475" i="3"/>
  <c r="I475" i="3"/>
  <c r="I456" i="3"/>
  <c r="I453" i="3"/>
  <c r="I452" i="3"/>
  <c r="I449" i="3"/>
  <c r="I446" i="3"/>
  <c r="I1759" i="3"/>
  <c r="I1751" i="3"/>
  <c r="I1748" i="3"/>
  <c r="I1742" i="3"/>
  <c r="I1735" i="3"/>
  <c r="I1723" i="3"/>
  <c r="K1770" i="3"/>
  <c r="J1770" i="3"/>
  <c r="I1770" i="3"/>
  <c r="K1768" i="3"/>
  <c r="J1768" i="3"/>
  <c r="I1768" i="3"/>
  <c r="K1754" i="3"/>
  <c r="J1754" i="3"/>
  <c r="I1754" i="3"/>
  <c r="K1747" i="3"/>
  <c r="J1747" i="3"/>
  <c r="I1747" i="3"/>
  <c r="K1745" i="3"/>
  <c r="J1745" i="3"/>
  <c r="I1745" i="3"/>
  <c r="K1740" i="3"/>
  <c r="J1740" i="3"/>
  <c r="I1740" i="3"/>
  <c r="K1730" i="3"/>
  <c r="J1730" i="3"/>
  <c r="I1730" i="3"/>
  <c r="K1727" i="3"/>
  <c r="J1727" i="3"/>
  <c r="I1727" i="3"/>
  <c r="K1721" i="3"/>
  <c r="J1721" i="3"/>
  <c r="I1721" i="3"/>
  <c r="K1715" i="3"/>
  <c r="J1715" i="3"/>
  <c r="I1715" i="3"/>
  <c r="K1713" i="3"/>
  <c r="J1713" i="3"/>
  <c r="I1713" i="3"/>
  <c r="K1711" i="3"/>
  <c r="J1711" i="3"/>
  <c r="I1711" i="3"/>
  <c r="K1701" i="3"/>
  <c r="J1701" i="3"/>
  <c r="I1701" i="3"/>
  <c r="K1699" i="3"/>
  <c r="J1699" i="3"/>
  <c r="I1699" i="3"/>
  <c r="K1697" i="3"/>
  <c r="J1697" i="3"/>
  <c r="I1697" i="3"/>
  <c r="K1687" i="3"/>
  <c r="J1687" i="3"/>
  <c r="I1687" i="3"/>
  <c r="K1686" i="3"/>
  <c r="J1686" i="3"/>
  <c r="I1686" i="3"/>
  <c r="K1684" i="3"/>
  <c r="J1684" i="3"/>
  <c r="I1684" i="3"/>
  <c r="K1683" i="3"/>
  <c r="J1683" i="3"/>
  <c r="I1683" i="3"/>
  <c r="M1677" i="3"/>
  <c r="L1677" i="3"/>
  <c r="M1676" i="3"/>
  <c r="L1676" i="3"/>
  <c r="M1396" i="3"/>
  <c r="L1396" i="3"/>
  <c r="I1667" i="3"/>
  <c r="I1653" i="3"/>
  <c r="I1649" i="3"/>
  <c r="I1644" i="3"/>
  <c r="I1636" i="3"/>
  <c r="I1615" i="3"/>
  <c r="I1603" i="3"/>
  <c r="I1593" i="3"/>
  <c r="I1580" i="3"/>
  <c r="I1572" i="3"/>
  <c r="I1563" i="3"/>
  <c r="I1558" i="3"/>
  <c r="I1551" i="3"/>
  <c r="I1530" i="3"/>
  <c r="I1517" i="3"/>
  <c r="I1514" i="3"/>
  <c r="I1504" i="3"/>
  <c r="I1498" i="3"/>
  <c r="I1497" i="3"/>
  <c r="I1495" i="3"/>
  <c r="I1494" i="3"/>
  <c r="I1454" i="3"/>
  <c r="I1431" i="3"/>
  <c r="I1428" i="3"/>
  <c r="I1415" i="3"/>
  <c r="I1412" i="3"/>
  <c r="I1408" i="3"/>
  <c r="I1407" i="3"/>
  <c r="I1401" i="3"/>
  <c r="I1055" i="3"/>
  <c r="I1050" i="3"/>
  <c r="I1045" i="3"/>
  <c r="I1036" i="3"/>
  <c r="I1023" i="3"/>
  <c r="I1019" i="3"/>
  <c r="I1016" i="3"/>
  <c r="I1014" i="3"/>
  <c r="I1007" i="3"/>
  <c r="I1004" i="3"/>
  <c r="I1001" i="3"/>
  <c r="I998" i="3"/>
  <c r="I993" i="3"/>
  <c r="I982" i="3"/>
  <c r="I971" i="3"/>
  <c r="I969" i="3"/>
  <c r="I960" i="3"/>
  <c r="I957" i="3"/>
  <c r="I954" i="3"/>
  <c r="I941" i="3"/>
  <c r="I938" i="3"/>
  <c r="I921" i="3"/>
  <c r="I917" i="3"/>
  <c r="I913" i="3"/>
  <c r="I901" i="3"/>
  <c r="I895" i="3"/>
  <c r="I889" i="3"/>
  <c r="I886" i="3"/>
  <c r="I882" i="3"/>
  <c r="I875" i="3"/>
  <c r="I870" i="3"/>
  <c r="I868" i="3"/>
  <c r="I864" i="3"/>
  <c r="I861" i="3"/>
  <c r="I855" i="3"/>
  <c r="I841" i="3"/>
  <c r="K1081" i="3"/>
  <c r="J1081" i="3"/>
  <c r="I1081" i="3"/>
  <c r="K1079" i="3"/>
  <c r="J1079" i="3"/>
  <c r="I1079" i="3"/>
  <c r="K1077" i="3"/>
  <c r="J1077" i="3"/>
  <c r="I1077" i="3"/>
  <c r="K1074" i="3"/>
  <c r="J1074" i="3"/>
  <c r="I1074" i="3"/>
  <c r="K1072" i="3"/>
  <c r="J1072" i="3"/>
  <c r="I1072" i="3"/>
  <c r="K1070" i="3"/>
  <c r="J1070" i="3"/>
  <c r="I1070" i="3"/>
  <c r="K1068" i="3"/>
  <c r="J1068" i="3"/>
  <c r="I1068" i="3"/>
  <c r="K1066" i="3"/>
  <c r="J1066" i="3"/>
  <c r="I1066" i="3"/>
  <c r="K1064" i="3"/>
  <c r="J1064" i="3"/>
  <c r="I1064" i="3"/>
  <c r="K1062" i="3"/>
  <c r="J1062" i="3"/>
  <c r="I1062" i="3"/>
  <c r="K1060" i="3"/>
  <c r="J1060" i="3"/>
  <c r="I1060" i="3"/>
  <c r="K1058" i="3"/>
  <c r="J1058" i="3"/>
  <c r="I1058" i="3"/>
  <c r="K1053" i="3"/>
  <c r="J1053" i="3"/>
  <c r="I1053" i="3"/>
  <c r="K1048" i="3"/>
  <c r="J1048" i="3"/>
  <c r="I1048" i="3"/>
  <c r="K1042" i="3"/>
  <c r="J1042" i="3"/>
  <c r="I1042" i="3"/>
  <c r="K1028" i="3"/>
  <c r="J1028" i="3"/>
  <c r="I1028" i="3"/>
  <c r="K1012" i="3"/>
  <c r="J1012" i="3"/>
  <c r="I1012" i="3"/>
  <c r="K996" i="3"/>
  <c r="J996" i="3"/>
  <c r="I996" i="3"/>
  <c r="K990" i="3"/>
  <c r="J990" i="3"/>
  <c r="I990" i="3"/>
  <c r="K988" i="3"/>
  <c r="J988" i="3"/>
  <c r="I988" i="3"/>
  <c r="K985" i="3"/>
  <c r="J985" i="3"/>
  <c r="I985" i="3"/>
  <c r="K980" i="3"/>
  <c r="J980" i="3"/>
  <c r="I980" i="3"/>
  <c r="K977" i="3"/>
  <c r="J977" i="3"/>
  <c r="I977" i="3"/>
  <c r="K974" i="3"/>
  <c r="J974" i="3"/>
  <c r="I974" i="3"/>
  <c r="K964" i="3"/>
  <c r="J964" i="3"/>
  <c r="I964" i="3"/>
  <c r="K947" i="3"/>
  <c r="J947" i="3"/>
  <c r="I947" i="3"/>
  <c r="K933" i="3"/>
  <c r="J933" i="3"/>
  <c r="I933" i="3"/>
  <c r="K930" i="3"/>
  <c r="J930" i="3"/>
  <c r="I930" i="3"/>
  <c r="K927" i="3"/>
  <c r="J927" i="3"/>
  <c r="I927" i="3"/>
  <c r="K925" i="3"/>
  <c r="J925" i="3"/>
  <c r="I925" i="3"/>
  <c r="K923" i="3"/>
  <c r="J923" i="3"/>
  <c r="I923" i="3"/>
  <c r="K919" i="3"/>
  <c r="J919" i="3"/>
  <c r="I919" i="3"/>
  <c r="K915" i="3"/>
  <c r="J915" i="3"/>
  <c r="I915" i="3"/>
  <c r="K910" i="3"/>
  <c r="J910" i="3"/>
  <c r="I910" i="3"/>
  <c r="K904" i="3"/>
  <c r="J904" i="3"/>
  <c r="I904" i="3"/>
  <c r="K899" i="3"/>
  <c r="J899" i="3"/>
  <c r="I899" i="3"/>
  <c r="K893" i="3"/>
  <c r="J893" i="3"/>
  <c r="I893" i="3"/>
  <c r="K884" i="3"/>
  <c r="J884" i="3"/>
  <c r="I884" i="3"/>
  <c r="K880" i="3"/>
  <c r="J880" i="3"/>
  <c r="I880" i="3"/>
  <c r="K872" i="3"/>
  <c r="J872" i="3"/>
  <c r="I872" i="3"/>
  <c r="K859" i="3"/>
  <c r="J859" i="3"/>
  <c r="I859" i="3"/>
  <c r="K851" i="3"/>
  <c r="J851" i="3"/>
  <c r="I851" i="3"/>
  <c r="K849" i="3"/>
  <c r="J849" i="3"/>
  <c r="I849" i="3"/>
  <c r="K847" i="3"/>
  <c r="J847" i="3"/>
  <c r="I847" i="3"/>
  <c r="K845" i="3"/>
  <c r="J845" i="3"/>
  <c r="I845" i="3"/>
  <c r="K843" i="3"/>
  <c r="J843" i="3"/>
  <c r="I843" i="3"/>
  <c r="K839" i="3"/>
  <c r="J839" i="3"/>
  <c r="I839" i="3"/>
  <c r="M1076" i="3"/>
  <c r="L1076" i="3"/>
  <c r="M1044" i="3"/>
  <c r="L1044" i="3"/>
  <c r="M1041" i="3"/>
  <c r="L1041" i="3"/>
  <c r="M1040" i="3"/>
  <c r="L1040" i="3"/>
  <c r="M1039" i="3"/>
  <c r="L1039" i="3"/>
  <c r="M1038" i="3"/>
  <c r="L1038" i="3"/>
  <c r="M1035" i="3"/>
  <c r="L1035" i="3"/>
  <c r="M1034" i="3"/>
  <c r="L1034" i="3"/>
  <c r="M1033" i="3"/>
  <c r="L1033" i="3"/>
  <c r="M1032" i="3"/>
  <c r="L1032" i="3"/>
  <c r="M1031" i="3"/>
  <c r="L1031" i="3"/>
  <c r="M1030" i="3"/>
  <c r="L1030" i="3"/>
  <c r="M1027" i="3"/>
  <c r="L1027" i="3"/>
  <c r="M1026" i="3"/>
  <c r="L1026" i="3"/>
  <c r="M1022" i="3"/>
  <c r="L1022" i="3"/>
  <c r="M1018" i="3"/>
  <c r="L1018" i="3"/>
  <c r="M1011" i="3"/>
  <c r="L1011" i="3"/>
  <c r="M1010" i="3"/>
  <c r="L1010" i="3"/>
  <c r="M997" i="3"/>
  <c r="L997" i="3"/>
  <c r="M992" i="3"/>
  <c r="L992" i="3"/>
  <c r="M987" i="3"/>
  <c r="L987" i="3"/>
  <c r="M979" i="3"/>
  <c r="L979" i="3"/>
  <c r="M976" i="3"/>
  <c r="L976" i="3"/>
  <c r="M968" i="3"/>
  <c r="L968" i="3"/>
  <c r="M967" i="3"/>
  <c r="L967" i="3"/>
  <c r="M966" i="3"/>
  <c r="L966" i="3"/>
  <c r="M963" i="3"/>
  <c r="L963" i="3"/>
  <c r="M962" i="3"/>
  <c r="L962" i="3"/>
  <c r="M953" i="3"/>
  <c r="L953" i="3"/>
  <c r="M952" i="3"/>
  <c r="L952" i="3"/>
  <c r="M951" i="3"/>
  <c r="L951" i="3"/>
  <c r="M950" i="3"/>
  <c r="L950" i="3"/>
  <c r="M949" i="3"/>
  <c r="L949" i="3"/>
  <c r="M946" i="3"/>
  <c r="L946" i="3"/>
  <c r="M945" i="3"/>
  <c r="L945" i="3"/>
  <c r="M944" i="3"/>
  <c r="L944" i="3"/>
  <c r="M943" i="3"/>
  <c r="L943" i="3"/>
  <c r="M940" i="3"/>
  <c r="L940" i="3"/>
  <c r="M937" i="3"/>
  <c r="L937" i="3"/>
  <c r="M936" i="3"/>
  <c r="L936" i="3"/>
  <c r="M935" i="3"/>
  <c r="L935" i="3"/>
  <c r="M932" i="3"/>
  <c r="L932" i="3"/>
  <c r="M929" i="3"/>
  <c r="L929" i="3"/>
  <c r="M912" i="3"/>
  <c r="L912" i="3"/>
  <c r="M911" i="3"/>
  <c r="L911" i="3"/>
  <c r="M909" i="3"/>
  <c r="L909" i="3"/>
  <c r="M908" i="3"/>
  <c r="L908" i="3"/>
  <c r="M907" i="3"/>
  <c r="L907" i="3"/>
  <c r="M906" i="3"/>
  <c r="L906" i="3"/>
  <c r="M898" i="3"/>
  <c r="L898" i="3"/>
  <c r="M894" i="3"/>
  <c r="L894" i="3"/>
  <c r="M892" i="3"/>
  <c r="L892" i="3"/>
  <c r="M888" i="3"/>
  <c r="L888" i="3"/>
  <c r="M881" i="3"/>
  <c r="L881" i="3"/>
  <c r="M879" i="3"/>
  <c r="L879" i="3"/>
  <c r="M878" i="3"/>
  <c r="L878" i="3"/>
  <c r="M877" i="3"/>
  <c r="L877" i="3"/>
  <c r="M874" i="3"/>
  <c r="L874" i="3"/>
  <c r="M869" i="3"/>
  <c r="L869" i="3"/>
  <c r="M867" i="3"/>
  <c r="L867" i="3"/>
  <c r="M863" i="3"/>
  <c r="L863" i="3"/>
  <c r="M858" i="3"/>
  <c r="L858" i="3"/>
  <c r="M854" i="3"/>
  <c r="L854" i="3"/>
  <c r="M853" i="3"/>
  <c r="L853" i="3"/>
  <c r="M838" i="3"/>
  <c r="L838" i="3"/>
  <c r="M837" i="3"/>
  <c r="L837" i="3"/>
  <c r="M836" i="3"/>
  <c r="L836" i="3"/>
  <c r="I2773" i="3"/>
  <c r="I2770" i="3"/>
  <c r="I2767" i="3"/>
  <c r="I2764" i="3"/>
  <c r="I2761" i="3"/>
  <c r="I2758" i="3"/>
  <c r="I2754" i="3"/>
  <c r="I2751" i="3"/>
  <c r="I2748" i="3"/>
  <c r="I2745" i="3"/>
  <c r="I2742" i="3"/>
  <c r="I2739" i="3"/>
  <c r="I2731" i="3"/>
  <c r="I2728" i="3"/>
  <c r="I2717" i="3"/>
  <c r="I2712" i="3"/>
  <c r="I2708" i="3"/>
  <c r="I2698" i="3"/>
  <c r="I2689" i="3"/>
  <c r="I2686" i="3"/>
  <c r="K2734" i="3"/>
  <c r="J2734" i="3"/>
  <c r="I2734" i="3"/>
  <c r="K2733" i="3"/>
  <c r="J2733" i="3"/>
  <c r="I2733" i="3"/>
  <c r="K2726" i="3"/>
  <c r="J2726" i="3"/>
  <c r="I2726" i="3"/>
  <c r="K2724" i="3"/>
  <c r="J2724" i="3"/>
  <c r="I2724" i="3"/>
  <c r="K2722" i="3"/>
  <c r="J2722" i="3"/>
  <c r="I2722" i="3"/>
  <c r="K2720" i="3"/>
  <c r="J2720" i="3"/>
  <c r="I2720" i="3"/>
  <c r="K2715" i="3"/>
  <c r="J2715" i="3"/>
  <c r="I2715" i="3"/>
  <c r="K2706" i="3"/>
  <c r="J2706" i="3"/>
  <c r="I2706" i="3"/>
  <c r="K2703" i="3"/>
  <c r="J2703" i="3"/>
  <c r="I2703" i="3"/>
  <c r="K2701" i="3"/>
  <c r="J2701" i="3"/>
  <c r="I2701" i="3"/>
  <c r="K2696" i="3"/>
  <c r="J2696" i="3"/>
  <c r="I2696" i="3"/>
  <c r="K2694" i="3"/>
  <c r="J2694" i="3"/>
  <c r="I2694" i="3"/>
  <c r="K2692" i="3"/>
  <c r="J2692" i="3"/>
  <c r="I2692" i="3"/>
  <c r="K2684" i="3"/>
  <c r="J2684" i="3"/>
  <c r="I2684" i="3"/>
  <c r="M2775" i="3"/>
  <c r="L2775" i="3"/>
  <c r="M2757" i="3"/>
  <c r="L2757" i="3"/>
  <c r="M2747" i="3"/>
  <c r="L2747" i="3"/>
  <c r="M2738" i="3"/>
  <c r="L2738" i="3"/>
  <c r="M2737" i="3"/>
  <c r="L2737" i="3"/>
  <c r="M2736" i="3"/>
  <c r="L2736" i="3"/>
  <c r="M2735" i="3"/>
  <c r="L2735" i="3"/>
  <c r="M2716" i="3"/>
  <c r="L2716" i="3"/>
  <c r="M2711" i="3"/>
  <c r="L2711" i="3"/>
  <c r="M2705" i="3"/>
  <c r="L2705" i="3"/>
  <c r="M2688" i="3"/>
  <c r="L2688" i="3"/>
  <c r="M2814" i="3"/>
  <c r="L2814" i="3"/>
  <c r="M2809" i="3"/>
  <c r="L2809" i="3"/>
  <c r="M2808" i="3"/>
  <c r="L2808" i="3"/>
  <c r="M2807" i="3"/>
  <c r="L2807" i="3"/>
  <c r="M2806" i="3"/>
  <c r="L2806" i="3"/>
  <c r="M2803" i="3"/>
  <c r="L2803" i="3"/>
  <c r="M2802" i="3"/>
  <c r="L2802" i="3"/>
  <c r="M2801" i="3"/>
  <c r="L2801" i="3"/>
  <c r="M2800" i="3"/>
  <c r="L2800" i="3"/>
  <c r="M2795" i="3"/>
  <c r="L2795" i="3"/>
  <c r="M2793" i="3"/>
  <c r="L2793" i="3"/>
  <c r="M2790" i="3"/>
  <c r="L2790" i="3"/>
  <c r="M2785" i="3"/>
  <c r="L2785" i="3"/>
  <c r="M2782" i="3"/>
  <c r="L2782" i="3"/>
  <c r="M2779" i="3"/>
  <c r="L2779" i="3"/>
  <c r="K2812" i="3"/>
  <c r="J2812" i="3"/>
  <c r="I2812" i="3"/>
  <c r="K2805" i="3"/>
  <c r="J2805" i="3"/>
  <c r="I2805" i="3"/>
  <c r="K2804" i="3"/>
  <c r="J2804" i="3"/>
  <c r="I2804" i="3"/>
  <c r="K2799" i="3"/>
  <c r="J2799" i="3"/>
  <c r="I2799" i="3"/>
  <c r="K2798" i="3"/>
  <c r="J2798" i="3"/>
  <c r="I2798" i="3"/>
  <c r="K2794" i="3"/>
  <c r="J2794" i="3"/>
  <c r="I2794" i="3"/>
  <c r="K2788" i="3"/>
  <c r="J2788" i="3"/>
  <c r="I2788" i="3"/>
  <c r="K2786" i="3"/>
  <c r="J2786" i="3"/>
  <c r="I2786" i="3"/>
  <c r="K2778" i="3"/>
  <c r="J2778" i="3"/>
  <c r="I2778" i="3"/>
  <c r="I2810" i="3"/>
  <c r="I2796" i="3"/>
  <c r="I2791" i="3"/>
  <c r="I2783" i="3"/>
  <c r="M1392" i="3"/>
  <c r="L1392" i="3"/>
  <c r="M1391" i="3"/>
  <c r="L1391" i="3"/>
  <c r="M1390" i="3"/>
  <c r="L1390" i="3"/>
  <c r="M1389" i="3"/>
  <c r="L1389" i="3"/>
  <c r="M1388" i="3"/>
  <c r="L1388" i="3"/>
  <c r="M1387" i="3"/>
  <c r="L1387" i="3"/>
  <c r="M1386" i="3"/>
  <c r="L1386" i="3"/>
  <c r="M1385" i="3"/>
  <c r="L1385" i="3"/>
  <c r="M1383" i="3"/>
  <c r="L1383" i="3"/>
  <c r="M1382" i="3"/>
  <c r="L1382" i="3"/>
  <c r="M1381" i="3"/>
  <c r="L1381" i="3"/>
  <c r="M1380" i="3"/>
  <c r="L1380" i="3"/>
  <c r="M1379" i="3"/>
  <c r="L1379" i="3"/>
  <c r="M1378" i="3"/>
  <c r="L1378" i="3"/>
  <c r="M1377" i="3"/>
  <c r="L1377" i="3"/>
  <c r="M1376" i="3"/>
  <c r="L1376" i="3"/>
  <c r="M1369" i="3"/>
  <c r="L1369" i="3"/>
  <c r="M1367" i="3"/>
  <c r="L1367" i="3"/>
  <c r="M1366" i="3"/>
  <c r="L1366" i="3"/>
  <c r="M1365" i="3"/>
  <c r="L1365" i="3"/>
  <c r="M1364" i="3"/>
  <c r="L1364" i="3"/>
  <c r="M1363" i="3"/>
  <c r="L1363" i="3"/>
  <c r="M1362" i="3"/>
  <c r="L1362" i="3"/>
  <c r="M1361" i="3"/>
  <c r="L1361" i="3"/>
  <c r="M1360" i="3"/>
  <c r="L1360" i="3"/>
  <c r="M1357" i="3"/>
  <c r="L1357" i="3"/>
  <c r="M1356" i="3"/>
  <c r="L1356" i="3"/>
  <c r="M1355" i="3"/>
  <c r="L1355" i="3"/>
  <c r="M1354" i="3"/>
  <c r="L1354" i="3"/>
  <c r="M1353" i="3"/>
  <c r="L1353" i="3"/>
  <c r="M1348" i="3"/>
  <c r="L1348" i="3"/>
  <c r="M1343" i="3"/>
  <c r="L1343" i="3"/>
  <c r="M1342" i="3"/>
  <c r="L1342" i="3"/>
  <c r="M1341" i="3"/>
  <c r="L1341" i="3"/>
  <c r="M1340" i="3"/>
  <c r="L1340" i="3"/>
  <c r="M1339" i="3"/>
  <c r="L1339" i="3"/>
  <c r="M1338" i="3"/>
  <c r="L1338" i="3"/>
  <c r="M1337" i="3"/>
  <c r="L1337" i="3"/>
  <c r="M1336" i="3"/>
  <c r="L1336" i="3"/>
  <c r="M1335" i="3"/>
  <c r="L1335" i="3"/>
  <c r="M1334" i="3"/>
  <c r="L1334" i="3"/>
  <c r="M1333" i="3"/>
  <c r="L1333" i="3"/>
  <c r="M1332" i="3"/>
  <c r="L1332" i="3"/>
  <c r="M1331" i="3"/>
  <c r="L1331" i="3"/>
  <c r="M1330" i="3"/>
  <c r="L1330" i="3"/>
  <c r="M1329" i="3"/>
  <c r="L1329" i="3"/>
  <c r="M1328" i="3"/>
  <c r="L1328" i="3"/>
  <c r="M1327" i="3"/>
  <c r="L1327" i="3"/>
  <c r="M1326" i="3"/>
  <c r="L1326" i="3"/>
  <c r="M1325" i="3"/>
  <c r="L1325" i="3"/>
  <c r="M1322" i="3"/>
  <c r="L1322" i="3"/>
  <c r="M1321" i="3"/>
  <c r="L1321" i="3"/>
  <c r="M1320" i="3"/>
  <c r="L1320" i="3"/>
  <c r="M1319" i="3"/>
  <c r="L1319" i="3"/>
  <c r="M1318" i="3"/>
  <c r="L1318" i="3"/>
  <c r="M1317" i="3"/>
  <c r="L1317" i="3"/>
  <c r="M1316" i="3"/>
  <c r="L1316" i="3"/>
  <c r="M1315" i="3"/>
  <c r="L1315" i="3"/>
  <c r="M1314" i="3"/>
  <c r="L1314" i="3"/>
  <c r="M1313" i="3"/>
  <c r="L1313" i="3"/>
  <c r="M1312" i="3"/>
  <c r="L1312" i="3"/>
  <c r="M1311" i="3"/>
  <c r="L1311" i="3"/>
  <c r="M1310" i="3"/>
  <c r="L1310" i="3"/>
  <c r="M1309" i="3"/>
  <c r="L1309" i="3"/>
  <c r="M1308" i="3"/>
  <c r="L1308" i="3"/>
  <c r="M1307" i="3"/>
  <c r="L1307" i="3"/>
  <c r="M1306" i="3"/>
  <c r="L1306" i="3"/>
  <c r="M1305" i="3"/>
  <c r="L1305" i="3"/>
  <c r="M1304" i="3"/>
  <c r="L1304" i="3"/>
  <c r="M1303" i="3"/>
  <c r="L1303" i="3"/>
  <c r="M1302" i="3"/>
  <c r="L1302" i="3"/>
  <c r="M1301" i="3"/>
  <c r="L1301" i="3"/>
  <c r="M1300" i="3"/>
  <c r="L1300" i="3"/>
  <c r="M1299" i="3"/>
  <c r="L1299" i="3"/>
  <c r="M1298" i="3"/>
  <c r="L1298" i="3"/>
  <c r="M1297" i="3"/>
  <c r="L1297" i="3"/>
  <c r="M1296" i="3"/>
  <c r="L1296" i="3"/>
  <c r="M1294" i="3"/>
  <c r="L1294" i="3"/>
  <c r="M1293" i="3"/>
  <c r="L1293" i="3"/>
  <c r="M1292" i="3"/>
  <c r="L1292" i="3"/>
  <c r="M1291" i="3"/>
  <c r="L1291" i="3"/>
  <c r="M1290" i="3"/>
  <c r="L1290" i="3"/>
  <c r="M1289" i="3"/>
  <c r="L1289" i="3"/>
  <c r="M1288" i="3"/>
  <c r="L1288" i="3"/>
  <c r="M1285" i="3"/>
  <c r="L1285" i="3"/>
  <c r="M1284" i="3"/>
  <c r="L1284" i="3"/>
  <c r="M1281" i="3"/>
  <c r="L1281" i="3"/>
  <c r="M1280" i="3"/>
  <c r="L1280" i="3"/>
  <c r="M1279" i="3"/>
  <c r="L1279" i="3"/>
  <c r="M1278" i="3"/>
  <c r="L1278" i="3"/>
  <c r="M1277" i="3"/>
  <c r="L1277" i="3"/>
  <c r="M1275" i="3"/>
  <c r="L1275" i="3"/>
  <c r="M1272" i="3"/>
  <c r="L1272" i="3"/>
  <c r="M1270" i="3"/>
  <c r="L1270" i="3"/>
  <c r="M1269" i="3"/>
  <c r="L1269" i="3"/>
  <c r="M1268" i="3"/>
  <c r="L1268" i="3"/>
  <c r="M1267" i="3"/>
  <c r="L1267" i="3"/>
  <c r="M1263" i="3"/>
  <c r="L1263" i="3"/>
  <c r="M1262" i="3"/>
  <c r="L1262" i="3"/>
  <c r="M1261" i="3"/>
  <c r="L1261" i="3"/>
  <c r="M1260" i="3"/>
  <c r="L1260" i="3"/>
  <c r="M1259" i="3"/>
  <c r="L1259" i="3"/>
  <c r="M1258" i="3"/>
  <c r="L1258" i="3"/>
  <c r="M1257" i="3"/>
  <c r="L1257" i="3"/>
  <c r="M1256" i="3"/>
  <c r="L1256" i="3"/>
  <c r="M1255" i="3"/>
  <c r="L1255" i="3"/>
  <c r="M1254" i="3"/>
  <c r="L1254" i="3"/>
  <c r="M1253" i="3"/>
  <c r="L1253" i="3"/>
  <c r="M1249" i="3"/>
  <c r="L1249" i="3"/>
  <c r="M1248" i="3"/>
  <c r="L1248" i="3"/>
  <c r="M1245" i="3"/>
  <c r="L1245" i="3"/>
  <c r="M1244" i="3"/>
  <c r="L1244" i="3"/>
  <c r="M1243" i="3"/>
  <c r="L1243" i="3"/>
  <c r="M1242" i="3"/>
  <c r="L1242" i="3"/>
  <c r="M1241" i="3"/>
  <c r="L1241" i="3"/>
  <c r="M1240" i="3"/>
  <c r="L1240" i="3"/>
  <c r="M1239" i="3"/>
  <c r="L1239" i="3"/>
  <c r="M1238" i="3"/>
  <c r="L1238" i="3"/>
  <c r="M1237" i="3"/>
  <c r="L1237" i="3"/>
  <c r="M1236" i="3"/>
  <c r="L1236" i="3"/>
  <c r="M1233" i="3"/>
  <c r="L1233" i="3"/>
  <c r="M1232" i="3"/>
  <c r="L1232" i="3"/>
  <c r="M1231" i="3"/>
  <c r="L1231" i="3"/>
  <c r="M1228" i="3"/>
  <c r="L1228" i="3"/>
  <c r="M1227" i="3"/>
  <c r="L1227" i="3"/>
  <c r="M1225" i="3"/>
  <c r="L1225" i="3"/>
  <c r="M1224" i="3"/>
  <c r="L1224" i="3"/>
  <c r="M1223" i="3"/>
  <c r="L1223" i="3"/>
  <c r="M1222" i="3"/>
  <c r="L1222" i="3"/>
  <c r="M1221" i="3"/>
  <c r="L1221" i="3"/>
  <c r="M1217" i="3"/>
  <c r="L1217" i="3"/>
  <c r="M1216" i="3"/>
  <c r="L1216" i="3"/>
  <c r="M1215" i="3"/>
  <c r="L1215" i="3"/>
  <c r="M1214" i="3"/>
  <c r="L1214" i="3"/>
  <c r="M1213" i="3"/>
  <c r="L1213" i="3"/>
  <c r="M1206" i="3"/>
  <c r="L1206" i="3"/>
  <c r="M1203" i="3"/>
  <c r="L1203" i="3"/>
  <c r="M1200" i="3"/>
  <c r="L1200" i="3"/>
  <c r="M1199" i="3"/>
  <c r="L1199" i="3"/>
  <c r="M1198" i="3"/>
  <c r="L1198" i="3"/>
  <c r="M1195" i="3"/>
  <c r="L1195" i="3"/>
  <c r="M1194" i="3"/>
  <c r="L1194" i="3"/>
  <c r="M1193" i="3"/>
  <c r="L1193" i="3"/>
  <c r="M1192" i="3"/>
  <c r="L1192" i="3"/>
  <c r="M1191" i="3"/>
  <c r="L1191" i="3"/>
  <c r="M1190" i="3"/>
  <c r="L1190" i="3"/>
  <c r="M1189" i="3"/>
  <c r="L1189" i="3"/>
  <c r="M1188" i="3"/>
  <c r="L1188" i="3"/>
  <c r="M1185" i="3"/>
  <c r="L1185" i="3"/>
  <c r="M1184" i="3"/>
  <c r="L1184" i="3"/>
  <c r="M1183" i="3"/>
  <c r="L1183" i="3"/>
  <c r="M1182" i="3"/>
  <c r="L1182" i="3"/>
  <c r="M1179" i="3"/>
  <c r="L1179" i="3"/>
  <c r="M1178" i="3"/>
  <c r="L1178" i="3"/>
  <c r="M1177" i="3"/>
  <c r="L1177" i="3"/>
  <c r="M1172" i="3"/>
  <c r="L1172" i="3"/>
  <c r="M1171" i="3"/>
  <c r="L1171" i="3"/>
  <c r="M1170" i="3"/>
  <c r="L1170" i="3"/>
  <c r="M1168" i="3"/>
  <c r="L1168" i="3"/>
  <c r="M1167" i="3"/>
  <c r="L1167" i="3"/>
  <c r="M1166" i="3"/>
  <c r="L1166" i="3"/>
  <c r="M1163" i="3"/>
  <c r="L1163" i="3"/>
  <c r="M1162" i="3"/>
  <c r="L1162" i="3"/>
  <c r="M1157" i="3"/>
  <c r="L1157" i="3"/>
  <c r="M1156" i="3"/>
  <c r="L1156" i="3"/>
  <c r="K1375" i="3"/>
  <c r="J1375" i="3"/>
  <c r="I1375" i="3"/>
  <c r="K1373" i="3"/>
  <c r="J1373" i="3"/>
  <c r="I1373" i="3"/>
  <c r="K1372" i="3"/>
  <c r="J1372" i="3"/>
  <c r="I1372" i="3"/>
  <c r="K1358" i="3"/>
  <c r="J1358" i="3"/>
  <c r="I1358" i="3"/>
  <c r="K1351" i="3"/>
  <c r="J1351" i="3"/>
  <c r="I1351" i="3"/>
  <c r="K1344" i="3"/>
  <c r="J1344" i="3"/>
  <c r="I1344" i="3"/>
  <c r="K1295" i="3"/>
  <c r="J1295" i="3"/>
  <c r="I1295" i="3"/>
  <c r="K1287" i="3"/>
  <c r="J1287" i="3"/>
  <c r="I1287" i="3"/>
  <c r="K1286" i="3"/>
  <c r="J1286" i="3"/>
  <c r="I1286" i="3"/>
  <c r="K1282" i="3"/>
  <c r="J1282" i="3"/>
  <c r="I1282" i="3"/>
  <c r="K1276" i="3"/>
  <c r="J1276" i="3"/>
  <c r="I1276" i="3"/>
  <c r="K1266" i="3"/>
  <c r="J1266" i="3"/>
  <c r="I1266" i="3"/>
  <c r="K1251" i="3"/>
  <c r="J1251" i="3"/>
  <c r="I1251" i="3"/>
  <c r="K1250" i="3"/>
  <c r="J1250" i="3"/>
  <c r="I1250" i="3"/>
  <c r="K1234" i="3"/>
  <c r="J1234" i="3"/>
  <c r="I1234" i="3"/>
  <c r="K1229" i="3"/>
  <c r="J1229" i="3"/>
  <c r="I1229" i="3"/>
  <c r="K1226" i="3"/>
  <c r="J1226" i="3"/>
  <c r="I1226" i="3"/>
  <c r="K1211" i="3"/>
  <c r="J1211" i="3"/>
  <c r="I1211" i="3"/>
  <c r="K1209" i="3"/>
  <c r="J1209" i="3"/>
  <c r="I1209" i="3"/>
  <c r="K1207" i="3"/>
  <c r="J1207" i="3"/>
  <c r="I1207" i="3"/>
  <c r="K1204" i="3"/>
  <c r="J1204" i="3"/>
  <c r="I1204" i="3"/>
  <c r="K1201" i="3"/>
  <c r="J1201" i="3"/>
  <c r="I1201" i="3"/>
  <c r="K1186" i="3"/>
  <c r="J1186" i="3"/>
  <c r="I1186" i="3"/>
  <c r="K1180" i="3"/>
  <c r="J1180" i="3"/>
  <c r="I1180" i="3"/>
  <c r="K1173" i="3"/>
  <c r="J1173" i="3"/>
  <c r="I1173" i="3"/>
  <c r="I1384" i="3"/>
  <c r="I1370" i="3"/>
  <c r="I1368" i="3"/>
  <c r="I1349" i="3"/>
  <c r="I1346" i="3"/>
  <c r="I1323" i="3"/>
  <c r="I1273" i="3"/>
  <c r="I1271" i="3"/>
  <c r="I1264" i="3"/>
  <c r="I1246" i="3"/>
  <c r="I1220" i="3"/>
  <c r="I1218" i="3"/>
  <c r="I1196" i="3"/>
  <c r="I1175" i="3"/>
  <c r="I1169" i="3"/>
  <c r="I1164" i="3"/>
  <c r="I1158" i="3"/>
  <c r="K1088" i="3" l="1"/>
  <c r="J1088" i="3"/>
  <c r="I1088" i="3"/>
  <c r="N1089" i="3" l="1"/>
  <c r="N1088" i="3"/>
  <c r="N2735" i="3"/>
  <c r="N2737" i="3"/>
  <c r="N2733" i="3"/>
  <c r="N2738" i="3"/>
  <c r="N2734" i="3"/>
  <c r="N2736" i="3"/>
  <c r="N1983" i="3"/>
  <c r="N1985" i="3"/>
  <c r="N1987" i="3"/>
  <c r="N1984" i="3"/>
  <c r="N1986" i="3"/>
  <c r="N1988" i="3"/>
  <c r="N807" i="3"/>
  <c r="N810" i="3"/>
  <c r="N812" i="3"/>
  <c r="N808" i="3"/>
  <c r="N811" i="3"/>
  <c r="N809" i="3"/>
  <c r="N507" i="3" l="1"/>
  <c r="N509" i="3"/>
  <c r="N511" i="3"/>
  <c r="N508" i="3"/>
  <c r="N512" i="3"/>
  <c r="N510" i="3"/>
  <c r="N1686" i="3" l="1"/>
  <c r="N1687" i="3"/>
  <c r="N1690" i="3"/>
  <c r="N1689" i="3"/>
  <c r="N1688" i="3"/>
  <c r="N1691" i="3"/>
  <c r="M2777" i="3"/>
  <c r="L2777" i="3"/>
  <c r="N2797" i="3"/>
  <c r="N2800" i="3" l="1"/>
  <c r="N2801" i="3"/>
  <c r="N2798" i="3"/>
  <c r="N2799" i="3"/>
  <c r="N2806" i="3"/>
  <c r="N1288" i="3"/>
  <c r="N2804" i="3"/>
  <c r="N1286" i="3"/>
  <c r="N1290" i="3"/>
  <c r="N2808" i="3"/>
  <c r="N2807" i="3"/>
  <c r="N2805" i="3"/>
  <c r="N2809" i="3"/>
  <c r="N1289" i="3"/>
  <c r="N1287" i="3"/>
  <c r="N1291" i="3"/>
  <c r="N2663" i="3" l="1"/>
  <c r="N2661" i="3"/>
  <c r="N2664" i="3"/>
  <c r="N2666" i="3"/>
  <c r="N2662" i="3"/>
  <c r="N2665" i="3"/>
  <c r="N26" i="3"/>
  <c r="N29" i="3"/>
  <c r="N27" i="3"/>
  <c r="N28" i="3"/>
  <c r="N31" i="3"/>
  <c r="N34" i="3"/>
  <c r="N33" i="3"/>
  <c r="N32" i="3"/>
  <c r="N30" i="3"/>
  <c r="L2344" i="3" l="1"/>
  <c r="L1819" i="3"/>
  <c r="L1776" i="3"/>
  <c r="L611" i="3"/>
  <c r="L1083" i="3"/>
  <c r="L2" i="3"/>
  <c r="L448" i="3"/>
  <c r="L1673" i="3"/>
  <c r="L1395" i="3"/>
  <c r="L833" i="3"/>
  <c r="L2678" i="3"/>
  <c r="N4" i="3"/>
  <c r="N5" i="3"/>
  <c r="N7" i="3"/>
  <c r="N8" i="3"/>
  <c r="N10" i="3"/>
  <c r="N11" i="3"/>
  <c r="N13" i="3"/>
  <c r="N14" i="3"/>
  <c r="N16" i="3"/>
  <c r="N18" i="3"/>
  <c r="N19" i="3"/>
  <c r="N21" i="3"/>
  <c r="N24" i="3"/>
  <c r="N25" i="3"/>
  <c r="N36" i="3"/>
  <c r="N37" i="3"/>
  <c r="N39" i="3"/>
  <c r="N40" i="3"/>
  <c r="N42" i="3"/>
  <c r="N43" i="3"/>
  <c r="N45" i="3"/>
  <c r="N47" i="3"/>
  <c r="N49" i="3"/>
  <c r="N50" i="3"/>
  <c r="N52" i="3"/>
  <c r="N54" i="3"/>
  <c r="N55" i="3"/>
  <c r="N57" i="3"/>
  <c r="N58" i="3"/>
  <c r="N60" i="3"/>
  <c r="N61" i="3"/>
  <c r="N63" i="3"/>
  <c r="N64" i="3"/>
  <c r="N66" i="3"/>
  <c r="N68" i="3"/>
  <c r="N70" i="3"/>
  <c r="N71" i="3"/>
  <c r="N73" i="3"/>
  <c r="N75" i="3"/>
  <c r="N77" i="3"/>
  <c r="N80" i="3"/>
  <c r="N82" i="3"/>
  <c r="N83" i="3"/>
  <c r="N85" i="3"/>
  <c r="N86" i="3"/>
  <c r="N88" i="3"/>
  <c r="N90" i="3"/>
  <c r="N91" i="3"/>
  <c r="N93" i="3"/>
  <c r="N95" i="3"/>
  <c r="N97" i="3"/>
  <c r="N98" i="3"/>
  <c r="N100" i="3"/>
  <c r="N102" i="3"/>
  <c r="N103" i="3"/>
  <c r="N105" i="3"/>
  <c r="N106" i="3"/>
  <c r="N109" i="3"/>
  <c r="N116" i="3"/>
  <c r="N117" i="3"/>
  <c r="N119" i="3"/>
  <c r="N121" i="3"/>
  <c r="N123" i="3"/>
  <c r="N124" i="3"/>
  <c r="N126" i="3"/>
  <c r="N127" i="3"/>
  <c r="N129" i="3"/>
  <c r="N131" i="3"/>
  <c r="N132" i="3"/>
  <c r="N134" i="3"/>
  <c r="N135" i="3"/>
  <c r="N137" i="3"/>
  <c r="N138" i="3"/>
  <c r="N140" i="3"/>
  <c r="N141" i="3"/>
  <c r="N143" i="3"/>
  <c r="N144" i="3"/>
  <c r="N146" i="3"/>
  <c r="N148" i="3"/>
  <c r="N150" i="3"/>
  <c r="N152" i="3"/>
  <c r="N153" i="3"/>
  <c r="N155" i="3"/>
  <c r="N156" i="3"/>
  <c r="N159" i="3"/>
  <c r="N161" i="3"/>
  <c r="N162" i="3"/>
  <c r="N164" i="3"/>
  <c r="N165" i="3"/>
  <c r="N167" i="3"/>
  <c r="N168" i="3"/>
  <c r="N170" i="3"/>
  <c r="N173" i="3"/>
  <c r="N178" i="3"/>
  <c r="N179" i="3"/>
  <c r="N181" i="3"/>
  <c r="N182" i="3"/>
  <c r="N184" i="3"/>
  <c r="N185" i="3"/>
  <c r="N187" i="3"/>
  <c r="N189" i="3"/>
  <c r="N191" i="3"/>
  <c r="N194" i="3"/>
  <c r="N196" i="3"/>
  <c r="N198" i="3"/>
  <c r="N202" i="3"/>
  <c r="N203" i="3"/>
  <c r="N206" i="3"/>
  <c r="N207" i="3"/>
  <c r="N209" i="3"/>
  <c r="N211" i="3"/>
  <c r="N212" i="3"/>
  <c r="N214" i="3"/>
  <c r="N216" i="3"/>
  <c r="N217" i="3"/>
  <c r="N219" i="3"/>
  <c r="N221" i="3"/>
  <c r="N222" i="3"/>
  <c r="N225" i="3"/>
  <c r="N227" i="3"/>
  <c r="N228" i="3"/>
  <c r="N231" i="3"/>
  <c r="N232" i="3"/>
  <c r="N235" i="3"/>
  <c r="N237" i="3"/>
  <c r="N238" i="3"/>
  <c r="N241" i="3"/>
  <c r="N242" i="3"/>
  <c r="N244" i="3"/>
  <c r="N246" i="3"/>
  <c r="N248" i="3"/>
  <c r="N250" i="3"/>
  <c r="N251" i="3"/>
  <c r="N253" i="3"/>
  <c r="N255" i="3"/>
  <c r="N257" i="3"/>
  <c r="N258" i="3"/>
  <c r="N260" i="3"/>
  <c r="N263" i="3"/>
  <c r="N265" i="3"/>
  <c r="N266" i="3"/>
  <c r="N268" i="3"/>
  <c r="N269" i="3"/>
  <c r="N271" i="3"/>
  <c r="N273" i="3"/>
  <c r="N275" i="3"/>
  <c r="N276" i="3"/>
  <c r="N278" i="3"/>
  <c r="N279" i="3"/>
  <c r="N281" i="3"/>
  <c r="N282" i="3"/>
  <c r="N284" i="3"/>
  <c r="N286" i="3"/>
  <c r="N287" i="3"/>
  <c r="N289" i="3"/>
  <c r="N290" i="3"/>
  <c r="N292" i="3"/>
  <c r="N295" i="3"/>
  <c r="N298" i="3"/>
  <c r="N300" i="3"/>
  <c r="N301" i="3"/>
  <c r="N303" i="3"/>
  <c r="N304" i="3"/>
  <c r="N306" i="3"/>
  <c r="N313" i="3"/>
  <c r="N314" i="3"/>
  <c r="N318" i="3"/>
  <c r="N322" i="3"/>
  <c r="N331" i="3"/>
  <c r="N336" i="3"/>
  <c r="N337" i="3"/>
  <c r="N340" i="3"/>
  <c r="N342" i="3"/>
  <c r="N345" i="3"/>
  <c r="N346" i="3"/>
  <c r="N348" i="3"/>
  <c r="N349" i="3"/>
  <c r="N351" i="3"/>
  <c r="N352" i="3"/>
  <c r="N355" i="3"/>
  <c r="N356" i="3"/>
  <c r="N358" i="3"/>
  <c r="N361" i="3"/>
  <c r="N362" i="3"/>
  <c r="N364" i="3"/>
  <c r="N367" i="3"/>
  <c r="N368" i="3"/>
  <c r="N371" i="3"/>
  <c r="N374" i="3"/>
  <c r="N377" i="3"/>
  <c r="N378" i="3"/>
  <c r="N380" i="3"/>
  <c r="N381" i="3"/>
  <c r="N383" i="3"/>
  <c r="N384" i="3"/>
  <c r="N386" i="3"/>
  <c r="N390" i="3"/>
  <c r="N391" i="3"/>
  <c r="N394" i="3"/>
  <c r="N395" i="3"/>
  <c r="N398" i="3"/>
  <c r="N400" i="3"/>
  <c r="N402" i="3"/>
  <c r="N403" i="3"/>
  <c r="N406" i="3"/>
  <c r="N408" i="3"/>
  <c r="N410" i="3"/>
  <c r="N411" i="3"/>
  <c r="N413" i="3"/>
  <c r="N414" i="3"/>
  <c r="N416" i="3"/>
  <c r="N417" i="3"/>
  <c r="N419" i="3"/>
  <c r="N420" i="3"/>
  <c r="N422" i="3"/>
  <c r="N423" i="3"/>
  <c r="N428" i="3"/>
  <c r="N430" i="3"/>
  <c r="N431" i="3"/>
  <c r="N433" i="3"/>
  <c r="N434" i="3"/>
  <c r="N436" i="3"/>
  <c r="N437" i="3"/>
  <c r="N439" i="3"/>
  <c r="N440" i="3"/>
  <c r="N442" i="3"/>
  <c r="N444" i="3"/>
  <c r="N445" i="3"/>
  <c r="N447" i="3"/>
  <c r="N450" i="3"/>
  <c r="N451" i="3"/>
  <c r="N454" i="3"/>
  <c r="N455" i="3"/>
  <c r="N457" i="3"/>
  <c r="N458" i="3"/>
  <c r="N460" i="3"/>
  <c r="N461" i="3"/>
  <c r="N463" i="3"/>
  <c r="N464" i="3"/>
  <c r="N466" i="3"/>
  <c r="N467" i="3"/>
  <c r="N469" i="3"/>
  <c r="N470" i="3"/>
  <c r="N472" i="3"/>
  <c r="N473" i="3"/>
  <c r="N476" i="3"/>
  <c r="N478" i="3"/>
  <c r="N479" i="3"/>
  <c r="N483" i="3"/>
  <c r="N484" i="3"/>
  <c r="N486" i="3"/>
  <c r="N487" i="3"/>
  <c r="N489" i="3"/>
  <c r="N490" i="3"/>
  <c r="N492" i="3"/>
  <c r="N493" i="3"/>
  <c r="N495" i="3"/>
  <c r="N496" i="3"/>
  <c r="N499" i="3"/>
  <c r="N500" i="3"/>
  <c r="N502" i="3"/>
  <c r="N503" i="3"/>
  <c r="N505" i="3"/>
  <c r="N506" i="3"/>
  <c r="N519" i="3"/>
  <c r="N521" i="3"/>
  <c r="N522" i="3"/>
  <c r="N525" i="3"/>
  <c r="N527" i="3"/>
  <c r="N529" i="3"/>
  <c r="N532" i="3"/>
  <c r="N533" i="3"/>
  <c r="N535" i="3"/>
  <c r="N536" i="3"/>
  <c r="N538" i="3"/>
  <c r="N547" i="3"/>
  <c r="N548" i="3"/>
  <c r="N550" i="3"/>
  <c r="N553" i="3"/>
  <c r="N556" i="3"/>
  <c r="N558" i="3"/>
  <c r="N560" i="3"/>
  <c r="N564" i="3"/>
  <c r="N566" i="3"/>
  <c r="N567" i="3"/>
  <c r="N569" i="3"/>
  <c r="N572" i="3"/>
  <c r="N577" i="3"/>
  <c r="N579" i="3"/>
  <c r="N581" i="3"/>
  <c r="N582" i="3"/>
  <c r="N584" i="3"/>
  <c r="N586" i="3"/>
  <c r="N587" i="3"/>
  <c r="N591" i="3"/>
  <c r="N595" i="3"/>
  <c r="N598" i="3"/>
  <c r="N600" i="3"/>
  <c r="N602" i="3"/>
  <c r="N605" i="3"/>
  <c r="N609" i="3"/>
  <c r="N610" i="3"/>
  <c r="N613" i="3"/>
  <c r="N614" i="3"/>
  <c r="N616" i="3"/>
  <c r="N617" i="3"/>
  <c r="N619" i="3"/>
  <c r="N621" i="3"/>
  <c r="N622" i="3"/>
  <c r="N625" i="3"/>
  <c r="N626" i="3"/>
  <c r="N628" i="3"/>
  <c r="N629" i="3"/>
  <c r="N633" i="3"/>
  <c r="N634" i="3"/>
  <c r="N636" i="3"/>
  <c r="N637" i="3"/>
  <c r="N639" i="3"/>
  <c r="N640" i="3"/>
  <c r="N642" i="3"/>
  <c r="N643" i="3"/>
  <c r="N645" i="3"/>
  <c r="N646" i="3"/>
  <c r="N648" i="3"/>
  <c r="N650" i="3"/>
  <c r="N651" i="3"/>
  <c r="N653" i="3"/>
  <c r="N654" i="3"/>
  <c r="N656" i="3"/>
  <c r="N657" i="3"/>
  <c r="N660" i="3"/>
  <c r="N661" i="3"/>
  <c r="N663" i="3"/>
  <c r="N664" i="3"/>
  <c r="N666" i="3"/>
  <c r="N667" i="3"/>
  <c r="N669" i="3"/>
  <c r="N671" i="3"/>
  <c r="N673" i="3"/>
  <c r="N677" i="3"/>
  <c r="N680" i="3"/>
  <c r="N681" i="3"/>
  <c r="N684" i="3"/>
  <c r="N685" i="3"/>
  <c r="N688" i="3"/>
  <c r="N689" i="3"/>
  <c r="N691" i="3"/>
  <c r="N692" i="3"/>
  <c r="N694" i="3"/>
  <c r="N695" i="3"/>
  <c r="N699" i="3"/>
  <c r="N700" i="3"/>
  <c r="N702" i="3"/>
  <c r="N703" i="3"/>
  <c r="N705" i="3"/>
  <c r="N706" i="3"/>
  <c r="N708" i="3"/>
  <c r="N709" i="3"/>
  <c r="N711" i="3"/>
  <c r="N712" i="3"/>
  <c r="N714" i="3"/>
  <c r="N717" i="3"/>
  <c r="N718" i="3"/>
  <c r="N720" i="3"/>
  <c r="N721" i="3"/>
  <c r="N724" i="3"/>
  <c r="N726" i="3"/>
  <c r="N727" i="3"/>
  <c r="N730" i="3"/>
  <c r="N731" i="3"/>
  <c r="N733" i="3"/>
  <c r="N734" i="3"/>
  <c r="N737" i="3"/>
  <c r="N738" i="3"/>
  <c r="N740" i="3"/>
  <c r="N741" i="3"/>
  <c r="N743" i="3"/>
  <c r="N744" i="3"/>
  <c r="N746" i="3"/>
  <c r="N748" i="3"/>
  <c r="N749" i="3"/>
  <c r="N751" i="3"/>
  <c r="N757" i="3"/>
  <c r="N762" i="3"/>
  <c r="N763" i="3"/>
  <c r="N768" i="3"/>
  <c r="N771" i="3"/>
  <c r="N775" i="3"/>
  <c r="N776" i="3"/>
  <c r="N778" i="3"/>
  <c r="N779" i="3"/>
  <c r="N783" i="3"/>
  <c r="N785" i="3"/>
  <c r="N787" i="3"/>
  <c r="N788" i="3"/>
  <c r="N793" i="3"/>
  <c r="N795" i="3"/>
  <c r="N796" i="3"/>
  <c r="N798" i="3"/>
  <c r="N800" i="3"/>
  <c r="N801" i="3"/>
  <c r="N804" i="3"/>
  <c r="N805" i="3"/>
  <c r="N814" i="3"/>
  <c r="N818" i="3"/>
  <c r="N819" i="3"/>
  <c r="N821" i="3"/>
  <c r="N824" i="3"/>
  <c r="N831" i="3"/>
  <c r="N832" i="3"/>
  <c r="N835" i="3"/>
  <c r="N840" i="3"/>
  <c r="N842" i="3"/>
  <c r="N844" i="3"/>
  <c r="N846" i="3"/>
  <c r="N848" i="3"/>
  <c r="N850" i="3"/>
  <c r="N852" i="3"/>
  <c r="N856" i="3"/>
  <c r="N857" i="3"/>
  <c r="N860" i="3"/>
  <c r="N862" i="3"/>
  <c r="N865" i="3"/>
  <c r="N866" i="3"/>
  <c r="N871" i="3"/>
  <c r="N873" i="3"/>
  <c r="N876" i="3"/>
  <c r="N883" i="3"/>
  <c r="N885" i="3"/>
  <c r="N887" i="3"/>
  <c r="N890" i="3"/>
  <c r="N891" i="3"/>
  <c r="N896" i="3"/>
  <c r="N897" i="3"/>
  <c r="N900" i="3"/>
  <c r="N902" i="3"/>
  <c r="N903" i="3"/>
  <c r="N905" i="3"/>
  <c r="N914" i="3"/>
  <c r="N916" i="3"/>
  <c r="N918" i="3"/>
  <c r="N920" i="3"/>
  <c r="N922" i="3"/>
  <c r="N924" i="3"/>
  <c r="N926" i="3"/>
  <c r="N928" i="3"/>
  <c r="N931" i="3"/>
  <c r="N934" i="3"/>
  <c r="N939" i="3"/>
  <c r="N942" i="3"/>
  <c r="N948" i="3"/>
  <c r="N955" i="3"/>
  <c r="N956" i="3"/>
  <c r="N958" i="3"/>
  <c r="N959" i="3"/>
  <c r="N961" i="3"/>
  <c r="N965" i="3"/>
  <c r="N970" i="3"/>
  <c r="N972" i="3"/>
  <c r="N973" i="3"/>
  <c r="N975" i="3"/>
  <c r="N978" i="3"/>
  <c r="N981" i="3"/>
  <c r="N983" i="3"/>
  <c r="N984" i="3"/>
  <c r="N986" i="3"/>
  <c r="N989" i="3"/>
  <c r="N991" i="3"/>
  <c r="N994" i="3"/>
  <c r="N995" i="3"/>
  <c r="N999" i="3"/>
  <c r="N1000" i="3"/>
  <c r="N1002" i="3"/>
  <c r="N1003" i="3"/>
  <c r="N1005" i="3"/>
  <c r="N1006" i="3"/>
  <c r="N1008" i="3"/>
  <c r="N1009" i="3"/>
  <c r="N1013" i="3"/>
  <c r="N1015" i="3"/>
  <c r="N1017" i="3"/>
  <c r="N1020" i="3"/>
  <c r="N1021" i="3"/>
  <c r="N1024" i="3"/>
  <c r="N1025" i="3"/>
  <c r="N1029" i="3"/>
  <c r="N1037" i="3"/>
  <c r="N1043" i="3"/>
  <c r="N1046" i="3"/>
  <c r="N1047" i="3"/>
  <c r="N1049" i="3"/>
  <c r="N1051" i="3"/>
  <c r="N1052" i="3"/>
  <c r="N1054" i="3"/>
  <c r="N1056" i="3"/>
  <c r="N1057" i="3"/>
  <c r="N1059" i="3"/>
  <c r="N1061" i="3"/>
  <c r="N1063" i="3"/>
  <c r="N1065" i="3"/>
  <c r="N1067" i="3"/>
  <c r="N1069" i="3"/>
  <c r="N1071" i="3"/>
  <c r="N1073" i="3"/>
  <c r="N1075" i="3"/>
  <c r="N1078" i="3"/>
  <c r="N1080" i="3"/>
  <c r="N1082" i="3"/>
  <c r="N1092" i="3"/>
  <c r="N1094" i="3"/>
  <c r="N1099" i="3"/>
  <c r="N1101" i="3"/>
  <c r="N1104" i="3"/>
  <c r="N1105" i="3"/>
  <c r="N1108" i="3"/>
  <c r="N1110" i="3"/>
  <c r="N1113" i="3"/>
  <c r="N1117" i="3"/>
  <c r="N1118" i="3"/>
  <c r="N1123" i="3"/>
  <c r="N1124" i="3"/>
  <c r="N1126" i="3"/>
  <c r="N1130" i="3"/>
  <c r="N1131" i="3"/>
  <c r="N1135" i="3"/>
  <c r="N1136" i="3"/>
  <c r="N1138" i="3"/>
  <c r="N1142" i="3"/>
  <c r="N1146" i="3"/>
  <c r="N1147" i="3"/>
  <c r="N1155" i="3"/>
  <c r="N1159" i="3"/>
  <c r="N1161" i="3"/>
  <c r="N1165" i="3"/>
  <c r="N1174" i="3"/>
  <c r="N1176" i="3"/>
  <c r="N1181" i="3"/>
  <c r="N1187" i="3"/>
  <c r="N1197" i="3"/>
  <c r="N1202" i="3"/>
  <c r="N1205" i="3"/>
  <c r="N1208" i="3"/>
  <c r="N1210" i="3"/>
  <c r="N1212" i="3"/>
  <c r="N1219" i="3"/>
  <c r="N1230" i="3"/>
  <c r="N1235" i="3"/>
  <c r="N1247" i="3"/>
  <c r="N1252" i="3"/>
  <c r="N1265" i="3"/>
  <c r="N1274" i="3"/>
  <c r="N1283" i="3"/>
  <c r="N1324" i="3"/>
  <c r="N1345" i="3"/>
  <c r="N1347" i="3"/>
  <c r="N1350" i="3"/>
  <c r="N1352" i="3"/>
  <c r="N1359" i="3"/>
  <c r="N1371" i="3"/>
  <c r="N1374" i="3"/>
  <c r="N1394" i="3"/>
  <c r="N1399" i="3"/>
  <c r="N1402" i="3"/>
  <c r="N1404" i="3"/>
  <c r="N1409" i="3"/>
  <c r="N1410" i="3"/>
  <c r="N1413" i="3"/>
  <c r="N1414" i="3"/>
  <c r="N1416" i="3"/>
  <c r="N1422" i="3"/>
  <c r="N1425" i="3"/>
  <c r="N1429" i="3"/>
  <c r="N1430" i="3"/>
  <c r="N1444" i="3"/>
  <c r="N1448" i="3"/>
  <c r="N1450" i="3"/>
  <c r="N1455" i="3"/>
  <c r="N1456" i="3"/>
  <c r="N1468" i="3"/>
  <c r="N1475" i="3"/>
  <c r="N1483" i="3"/>
  <c r="N1485" i="3"/>
  <c r="N1487" i="3"/>
  <c r="N1489" i="3"/>
  <c r="N1492" i="3"/>
  <c r="N1496" i="3"/>
  <c r="N1499" i="3"/>
  <c r="N1501" i="3"/>
  <c r="N1505" i="3"/>
  <c r="N1511" i="3"/>
  <c r="N1515" i="3"/>
  <c r="N1516" i="3"/>
  <c r="N1518" i="3"/>
  <c r="N1519" i="3"/>
  <c r="N1523" i="3"/>
  <c r="N1527" i="3"/>
  <c r="N1529" i="3"/>
  <c r="N1531" i="3"/>
  <c r="N1532" i="3"/>
  <c r="N1540" i="3"/>
  <c r="N1542" i="3"/>
  <c r="N1550" i="3"/>
  <c r="N1552" i="3"/>
  <c r="N1553" i="3"/>
  <c r="N1555" i="3"/>
  <c r="N1557" i="3"/>
  <c r="N1559" i="3"/>
  <c r="N1560" i="3"/>
  <c r="N1564" i="3"/>
  <c r="N1567" i="3"/>
  <c r="N1569" i="3"/>
  <c r="N1571" i="3"/>
  <c r="N1573" i="3"/>
  <c r="N1574" i="3"/>
  <c r="N1577" i="3"/>
  <c r="N1579" i="3"/>
  <c r="N1581" i="3"/>
  <c r="N1582" i="3"/>
  <c r="N1588" i="3"/>
  <c r="N1592" i="3"/>
  <c r="N1594" i="3"/>
  <c r="N1595" i="3"/>
  <c r="N1598" i="3"/>
  <c r="N1604" i="3"/>
  <c r="N1605" i="3"/>
  <c r="N1607" i="3"/>
  <c r="N1609" i="3"/>
  <c r="N1613" i="3"/>
  <c r="N1616" i="3"/>
  <c r="N1617" i="3"/>
  <c r="N1619" i="3"/>
  <c r="N1621" i="3"/>
  <c r="N1623" i="3"/>
  <c r="N1630" i="3"/>
  <c r="N1634" i="3"/>
  <c r="N1637" i="3"/>
  <c r="N1638" i="3"/>
  <c r="N1645" i="3"/>
  <c r="N1646" i="3"/>
  <c r="N1648" i="3"/>
  <c r="N1650" i="3"/>
  <c r="N1651" i="3"/>
  <c r="N1654" i="3"/>
  <c r="N1662" i="3"/>
  <c r="N1665" i="3"/>
  <c r="N1668" i="3"/>
  <c r="N1669" i="3"/>
  <c r="N1675" i="3"/>
  <c r="N1680" i="3"/>
  <c r="N1681" i="3"/>
  <c r="N1685" i="3"/>
  <c r="N1698" i="3"/>
  <c r="N1702" i="3"/>
  <c r="N1712" i="3"/>
  <c r="N1714" i="3"/>
  <c r="N1716" i="3"/>
  <c r="N1722" i="3"/>
  <c r="N1724" i="3"/>
  <c r="N1728" i="3"/>
  <c r="N1731" i="3"/>
  <c r="N1736" i="3"/>
  <c r="N1737" i="3"/>
  <c r="N1741" i="3"/>
  <c r="N1743" i="3"/>
  <c r="N1744" i="3"/>
  <c r="N1749" i="3"/>
  <c r="N1750" i="3"/>
  <c r="N1752" i="3"/>
  <c r="N1753" i="3"/>
  <c r="N1755" i="3"/>
  <c r="N1760" i="3"/>
  <c r="N1769" i="3"/>
  <c r="N1771" i="3"/>
  <c r="N1774" i="3"/>
  <c r="N1777" i="3"/>
  <c r="N1787" i="3"/>
  <c r="N1797" i="3"/>
  <c r="N1800" i="3"/>
  <c r="N1804" i="3"/>
  <c r="N1805" i="3"/>
  <c r="N1813" i="3"/>
  <c r="N1821" i="3"/>
  <c r="N1823" i="3"/>
  <c r="N1828" i="3"/>
  <c r="N1829" i="3"/>
  <c r="N1832" i="3"/>
  <c r="N1834" i="3"/>
  <c r="N1835" i="3"/>
  <c r="N1841" i="3"/>
  <c r="N1842" i="3"/>
  <c r="N1844" i="3"/>
  <c r="N1848" i="3"/>
  <c r="N1849" i="3"/>
  <c r="N1851" i="3"/>
  <c r="N1852" i="3"/>
  <c r="N1854" i="3"/>
  <c r="N1856" i="3"/>
  <c r="N1857" i="3"/>
  <c r="N1861" i="3"/>
  <c r="N1862" i="3"/>
  <c r="N1865" i="3"/>
  <c r="N1867" i="3"/>
  <c r="N1869" i="3"/>
  <c r="N1870" i="3"/>
  <c r="N1872" i="3"/>
  <c r="N1874" i="3"/>
  <c r="N1877" i="3"/>
  <c r="N1878" i="3"/>
  <c r="N1882" i="3"/>
  <c r="N1884" i="3"/>
  <c r="N1885" i="3"/>
  <c r="N1887" i="3"/>
  <c r="N1888" i="3"/>
  <c r="N1890" i="3"/>
  <c r="N1891" i="3"/>
  <c r="N1893" i="3"/>
  <c r="N1898" i="3"/>
  <c r="N1900" i="3"/>
  <c r="N1904" i="3"/>
  <c r="N1905" i="3"/>
  <c r="N1907" i="3"/>
  <c r="N1908" i="3"/>
  <c r="N1911" i="3"/>
  <c r="N1912" i="3"/>
  <c r="N1915" i="3"/>
  <c r="N1916" i="3"/>
  <c r="N1918" i="3"/>
  <c r="N1921" i="3"/>
  <c r="N1922" i="3"/>
  <c r="N1924" i="3"/>
  <c r="N1925" i="3"/>
  <c r="N1927" i="3"/>
  <c r="N1928" i="3"/>
  <c r="N1930" i="3"/>
  <c r="N1933" i="3"/>
  <c r="N1935" i="3"/>
  <c r="N1936" i="3"/>
  <c r="N1940" i="3"/>
  <c r="N1942" i="3"/>
  <c r="N1944" i="3"/>
  <c r="N1945" i="3"/>
  <c r="N1948" i="3"/>
  <c r="N1952" i="3"/>
  <c r="N1953" i="3"/>
  <c r="N1956" i="3"/>
  <c r="N1957" i="3"/>
  <c r="N1962" i="3"/>
  <c r="N1970" i="3"/>
  <c r="N1971" i="3"/>
  <c r="N1975" i="3"/>
  <c r="N1976" i="3"/>
  <c r="N1990" i="3"/>
  <c r="N1991" i="3"/>
  <c r="N1993" i="3"/>
  <c r="N1994" i="3"/>
  <c r="N1996" i="3"/>
  <c r="N1997" i="3"/>
  <c r="N1999" i="3"/>
  <c r="N2000" i="3"/>
  <c r="N2002" i="3"/>
  <c r="N2003" i="3"/>
  <c r="N2006" i="3"/>
  <c r="N2007" i="3"/>
  <c r="N2009" i="3"/>
  <c r="N2010" i="3"/>
  <c r="N2012" i="3"/>
  <c r="N2013" i="3"/>
  <c r="N2015" i="3"/>
  <c r="N2016" i="3"/>
  <c r="N2018" i="3"/>
  <c r="N2020" i="3"/>
  <c r="N2022" i="3"/>
  <c r="N2023" i="3"/>
  <c r="N2025" i="3"/>
  <c r="N2026" i="3"/>
  <c r="N2028" i="3"/>
  <c r="N2029" i="3"/>
  <c r="N2031" i="3"/>
  <c r="N2033" i="3"/>
  <c r="N2035" i="3"/>
  <c r="N2036" i="3"/>
  <c r="N2038" i="3"/>
  <c r="N2039" i="3"/>
  <c r="N2041" i="3"/>
  <c r="N2042" i="3"/>
  <c r="N2044" i="3"/>
  <c r="N2045" i="3"/>
  <c r="N2047" i="3"/>
  <c r="N2048" i="3"/>
  <c r="N2050" i="3"/>
  <c r="N2051" i="3"/>
  <c r="N2053" i="3"/>
  <c r="N2054" i="3"/>
  <c r="N2058" i="3"/>
  <c r="N2060" i="3"/>
  <c r="N2061" i="3"/>
  <c r="N2064" i="3"/>
  <c r="N2065" i="3"/>
  <c r="N2067" i="3"/>
  <c r="N2068" i="3"/>
  <c r="N2070" i="3"/>
  <c r="N2071" i="3"/>
  <c r="N2073" i="3"/>
  <c r="N2074" i="3"/>
  <c r="N2076" i="3"/>
  <c r="N2078" i="3"/>
  <c r="N2079" i="3"/>
  <c r="N2081" i="3"/>
  <c r="N2082" i="3"/>
  <c r="N2084" i="3"/>
  <c r="N2085" i="3"/>
  <c r="N2087" i="3"/>
  <c r="N2088" i="3"/>
  <c r="N2090" i="3"/>
  <c r="N2091" i="3"/>
  <c r="N2093" i="3"/>
  <c r="N2094" i="3"/>
  <c r="N2096" i="3"/>
  <c r="N2097" i="3"/>
  <c r="N2099" i="3"/>
  <c r="N2102" i="3"/>
  <c r="N2103" i="3"/>
  <c r="N2105" i="3"/>
  <c r="N2106" i="3"/>
  <c r="N2108" i="3"/>
  <c r="N2109" i="3"/>
  <c r="N2111" i="3"/>
  <c r="N2113" i="3"/>
  <c r="N2114" i="3"/>
  <c r="N2116" i="3"/>
  <c r="N2118" i="3"/>
  <c r="N2120" i="3"/>
  <c r="N2121" i="3"/>
  <c r="N2123" i="3"/>
  <c r="N2124" i="3"/>
  <c r="N2126" i="3"/>
  <c r="N2127" i="3"/>
  <c r="N2129" i="3"/>
  <c r="N2130" i="3"/>
  <c r="N2132" i="3"/>
  <c r="N2133" i="3"/>
  <c r="N2135" i="3"/>
  <c r="N2136" i="3"/>
  <c r="N2138" i="3"/>
  <c r="N2139" i="3"/>
  <c r="N2141" i="3"/>
  <c r="N2143" i="3"/>
  <c r="N2144" i="3"/>
  <c r="N2150" i="3"/>
  <c r="N2151" i="3"/>
  <c r="N2153" i="3"/>
  <c r="N2154" i="3"/>
  <c r="N2157" i="3"/>
  <c r="N2159" i="3"/>
  <c r="N2160" i="3"/>
  <c r="N2162" i="3"/>
  <c r="N2164" i="3"/>
  <c r="N2165" i="3"/>
  <c r="N2167" i="3"/>
  <c r="N2168" i="3"/>
  <c r="N2171" i="3"/>
  <c r="N2173" i="3"/>
  <c r="N2174" i="3"/>
  <c r="N2177" i="3"/>
  <c r="N2178" i="3"/>
  <c r="N2180" i="3"/>
  <c r="N2182" i="3"/>
  <c r="N2185" i="3"/>
  <c r="N2187" i="3"/>
  <c r="N2188" i="3"/>
  <c r="N2193" i="3"/>
  <c r="N2194" i="3"/>
  <c r="N2199" i="3"/>
  <c r="N2200" i="3"/>
  <c r="N2202" i="3"/>
  <c r="N2203" i="3"/>
  <c r="N2208" i="3"/>
  <c r="N2209" i="3"/>
  <c r="N2213" i="3"/>
  <c r="N2215" i="3"/>
  <c r="N2216" i="3"/>
  <c r="N2218" i="3"/>
  <c r="N2220" i="3"/>
  <c r="N2222" i="3"/>
  <c r="N2223" i="3"/>
  <c r="N2225" i="3"/>
  <c r="N2229" i="3"/>
  <c r="N2231" i="3"/>
  <c r="N2232" i="3"/>
  <c r="N2234" i="3"/>
  <c r="N2236" i="3"/>
  <c r="N2239" i="3"/>
  <c r="N2240" i="3"/>
  <c r="N2243" i="3"/>
  <c r="N2244" i="3"/>
  <c r="N2246" i="3"/>
  <c r="N2248" i="3"/>
  <c r="N2249" i="3"/>
  <c r="N2252" i="3"/>
  <c r="N2254" i="3"/>
  <c r="N2257" i="3"/>
  <c r="N2258" i="3"/>
  <c r="N2261" i="3"/>
  <c r="N2263" i="3"/>
  <c r="N2264" i="3"/>
  <c r="N2266" i="3"/>
  <c r="N2267" i="3"/>
  <c r="N2269" i="3"/>
  <c r="N2271" i="3"/>
  <c r="N2272" i="3"/>
  <c r="N2274" i="3"/>
  <c r="N2275" i="3"/>
  <c r="N2278" i="3"/>
  <c r="N2280" i="3"/>
  <c r="N2281" i="3"/>
  <c r="N2284" i="3"/>
  <c r="N2286" i="3"/>
  <c r="N2290" i="3"/>
  <c r="N2291" i="3"/>
  <c r="N2293" i="3"/>
  <c r="N2295" i="3"/>
  <c r="N2300" i="3"/>
  <c r="N2309" i="3"/>
  <c r="N2311" i="3"/>
  <c r="N2312" i="3"/>
  <c r="N2315" i="3"/>
  <c r="N2317" i="3"/>
  <c r="N2318" i="3"/>
  <c r="N2320" i="3"/>
  <c r="N2321" i="3"/>
  <c r="N2323" i="3"/>
  <c r="N2324" i="3"/>
  <c r="N2326" i="3"/>
  <c r="N2329" i="3"/>
  <c r="N2331" i="3"/>
  <c r="N2333" i="3"/>
  <c r="N2335" i="3"/>
  <c r="N2336" i="3"/>
  <c r="N2338" i="3"/>
  <c r="N2340" i="3"/>
  <c r="N2343" i="3"/>
  <c r="N2346" i="3"/>
  <c r="N2347" i="3"/>
  <c r="N2349" i="3"/>
  <c r="N2350" i="3"/>
  <c r="N2352" i="3"/>
  <c r="N2355" i="3"/>
  <c r="N2356" i="3"/>
  <c r="N2359" i="3"/>
  <c r="N2360" i="3"/>
  <c r="N2364" i="3"/>
  <c r="N2365" i="3"/>
  <c r="N2367" i="3"/>
  <c r="N2368" i="3"/>
  <c r="N2371" i="3"/>
  <c r="N2373" i="3"/>
  <c r="N2374" i="3"/>
  <c r="N2378" i="3"/>
  <c r="N2379" i="3"/>
  <c r="N2381" i="3"/>
  <c r="N2383" i="3"/>
  <c r="N2384" i="3"/>
  <c r="N2386" i="3"/>
  <c r="N2387" i="3"/>
  <c r="N2392" i="3"/>
  <c r="N2393" i="3"/>
  <c r="N2395" i="3"/>
  <c r="N2397" i="3"/>
  <c r="N2399" i="3"/>
  <c r="N2401" i="3"/>
  <c r="N2403" i="3"/>
  <c r="N2404" i="3"/>
  <c r="N2407" i="3"/>
  <c r="N2408" i="3"/>
  <c r="N2411" i="3"/>
  <c r="N2412" i="3"/>
  <c r="N2414" i="3"/>
  <c r="N2417" i="3"/>
  <c r="N2419" i="3"/>
  <c r="N2421" i="3"/>
  <c r="N2423" i="3"/>
  <c r="N2424" i="3"/>
  <c r="N2426" i="3"/>
  <c r="N2427" i="3"/>
  <c r="N2429" i="3"/>
  <c r="N2431" i="3"/>
  <c r="N2434" i="3"/>
  <c r="N2435" i="3"/>
  <c r="N2438" i="3"/>
  <c r="N2439" i="3"/>
  <c r="N2441" i="3"/>
  <c r="N2442" i="3"/>
  <c r="N2444" i="3"/>
  <c r="N2447" i="3"/>
  <c r="N2448" i="3"/>
  <c r="N2450" i="3"/>
  <c r="N2452" i="3"/>
  <c r="N2453" i="3"/>
  <c r="N2455" i="3"/>
  <c r="N2456" i="3"/>
  <c r="N2459" i="3"/>
  <c r="N2460" i="3"/>
  <c r="N2462" i="3"/>
  <c r="N2463" i="3"/>
  <c r="N2465" i="3"/>
  <c r="N2466" i="3"/>
  <c r="N2468" i="3"/>
  <c r="N2471" i="3"/>
  <c r="N2472" i="3"/>
  <c r="N2475" i="3"/>
  <c r="N2477" i="3"/>
  <c r="N2478" i="3"/>
  <c r="N2480" i="3"/>
  <c r="N2482" i="3"/>
  <c r="N2483" i="3"/>
  <c r="N2485" i="3"/>
  <c r="N2486" i="3"/>
  <c r="N2489" i="3"/>
  <c r="N2490" i="3"/>
  <c r="N2493" i="3"/>
  <c r="N2495" i="3"/>
  <c r="N2496" i="3"/>
  <c r="N2499" i="3"/>
  <c r="N2500" i="3"/>
  <c r="N2504" i="3"/>
  <c r="N2506" i="3"/>
  <c r="N2507" i="3"/>
  <c r="N2509" i="3"/>
  <c r="N2511" i="3"/>
  <c r="N2512" i="3"/>
  <c r="N2514" i="3"/>
  <c r="N2516" i="3"/>
  <c r="N2517" i="3"/>
  <c r="N2519" i="3"/>
  <c r="N2522" i="3"/>
  <c r="N2523" i="3"/>
  <c r="N2525" i="3"/>
  <c r="N2529" i="3"/>
  <c r="N2531" i="3"/>
  <c r="N2533" i="3"/>
  <c r="N2535" i="3"/>
  <c r="N2537" i="3"/>
  <c r="N2540" i="3"/>
  <c r="N2541" i="3"/>
  <c r="N2544" i="3"/>
  <c r="N2548" i="3"/>
  <c r="N2550" i="3"/>
  <c r="N2552" i="3"/>
  <c r="N2553" i="3"/>
  <c r="N2555" i="3"/>
  <c r="N2556" i="3"/>
  <c r="N2560" i="3"/>
  <c r="N2562" i="3"/>
  <c r="N2563" i="3"/>
  <c r="N2565" i="3"/>
  <c r="N2567" i="3"/>
  <c r="N2569" i="3"/>
  <c r="N2572" i="3"/>
  <c r="N2573" i="3"/>
  <c r="N2575" i="3"/>
  <c r="N2576" i="3"/>
  <c r="N2579" i="3"/>
  <c r="N2580" i="3"/>
  <c r="N2584" i="3"/>
  <c r="N2587" i="3"/>
  <c r="N2589" i="3"/>
  <c r="N2590" i="3"/>
  <c r="N2592" i="3"/>
  <c r="N2593" i="3"/>
  <c r="N2595" i="3"/>
  <c r="N2596" i="3"/>
  <c r="N2599" i="3"/>
  <c r="N2600" i="3"/>
  <c r="N2603" i="3"/>
  <c r="N2604" i="3"/>
  <c r="N2606" i="3"/>
  <c r="N2607" i="3"/>
  <c r="N2612" i="3"/>
  <c r="N2613" i="3"/>
  <c r="N2615" i="3"/>
  <c r="N2616" i="3"/>
  <c r="N2624" i="3"/>
  <c r="N2625" i="3"/>
  <c r="N2628" i="3"/>
  <c r="N2630" i="3"/>
  <c r="N2634" i="3"/>
  <c r="N2635" i="3"/>
  <c r="N2639" i="3"/>
  <c r="N2640" i="3"/>
  <c r="N2642" i="3"/>
  <c r="N2643" i="3"/>
  <c r="N2645" i="3"/>
  <c r="N2646" i="3"/>
  <c r="N2648" i="3"/>
  <c r="N2649" i="3"/>
  <c r="N2652" i="3"/>
  <c r="N2653" i="3"/>
  <c r="N2655" i="3"/>
  <c r="N2656" i="3"/>
  <c r="N2658" i="3"/>
  <c r="N2668" i="3"/>
  <c r="N2671" i="3"/>
  <c r="N2674" i="3"/>
  <c r="N2676" i="3"/>
  <c r="N2680" i="3"/>
  <c r="N2681" i="3"/>
  <c r="N2683" i="3"/>
  <c r="N2685" i="3"/>
  <c r="N2687" i="3"/>
  <c r="N2688" i="3"/>
  <c r="N2690" i="3"/>
  <c r="N2691" i="3"/>
  <c r="N2693" i="3"/>
  <c r="N2695" i="3"/>
  <c r="N2697" i="3"/>
  <c r="N2699" i="3"/>
  <c r="N2700" i="3"/>
  <c r="N2702" i="3"/>
  <c r="N2704" i="3"/>
  <c r="N2707" i="3"/>
  <c r="N2709" i="3"/>
  <c r="N2710" i="3"/>
  <c r="N2713" i="3"/>
  <c r="N2714" i="3"/>
  <c r="N2716" i="3"/>
  <c r="N2718" i="3"/>
  <c r="N2719" i="3"/>
  <c r="N2721" i="3"/>
  <c r="N2723" i="3"/>
  <c r="N2725" i="3"/>
  <c r="N2727" i="3"/>
  <c r="N2729" i="3"/>
  <c r="N2730" i="3"/>
  <c r="N2732" i="3"/>
  <c r="N2740" i="3"/>
  <c r="N2741" i="3"/>
  <c r="N2743" i="3"/>
  <c r="N2744" i="3"/>
  <c r="N2746" i="3"/>
  <c r="N2747" i="3"/>
  <c r="N2749" i="3"/>
  <c r="N2750" i="3"/>
  <c r="N2752" i="3"/>
  <c r="N2753" i="3"/>
  <c r="N2755" i="3"/>
  <c r="N2756" i="3"/>
  <c r="N2759" i="3"/>
  <c r="N2760" i="3"/>
  <c r="N2762" i="3"/>
  <c r="N2763" i="3"/>
  <c r="N2765" i="3"/>
  <c r="N2766" i="3"/>
  <c r="N2768" i="3"/>
  <c r="N2769" i="3"/>
  <c r="N2771" i="3"/>
  <c r="N2772" i="3"/>
  <c r="N2774" i="3"/>
  <c r="N2777" i="3"/>
  <c r="N2779" i="3"/>
  <c r="N2781" i="3"/>
  <c r="N2782" i="3"/>
  <c r="N2784" i="3"/>
  <c r="N2785" i="3"/>
  <c r="N2787" i="3"/>
  <c r="N2789" i="3"/>
  <c r="N2792" i="3"/>
  <c r="N2793" i="3"/>
  <c r="N2795" i="3"/>
  <c r="N2811" i="3"/>
  <c r="N2813" i="3"/>
  <c r="L1153" i="3"/>
  <c r="I5" i="7" l="1"/>
  <c r="I6" i="7" s="1"/>
  <c r="B6" i="8" s="1"/>
  <c r="G2" i="6" l="1"/>
  <c r="G8" i="6"/>
  <c r="G9" i="6"/>
  <c r="G13" i="6"/>
  <c r="G14" i="6"/>
  <c r="G3" i="6"/>
  <c r="G4" i="6"/>
  <c r="G10" i="6"/>
  <c r="G5" i="6"/>
  <c r="G11" i="6"/>
  <c r="G6" i="6"/>
  <c r="G7" i="6"/>
  <c r="G12" i="6"/>
  <c r="G15" i="6" l="1"/>
  <c r="I1160" i="3"/>
  <c r="N1186" i="3" l="1"/>
  <c r="N1234" i="3"/>
  <c r="N1209" i="3"/>
  <c r="N1276" i="3"/>
  <c r="N1375" i="3"/>
  <c r="N1351" i="3"/>
  <c r="N1207" i="3"/>
  <c r="N1373" i="3"/>
  <c r="N1201" i="3"/>
  <c r="N1180" i="3"/>
  <c r="N1229" i="3"/>
  <c r="N1204" i="3"/>
  <c r="N1251" i="3"/>
  <c r="N1372" i="3"/>
  <c r="N1211" i="3"/>
  <c r="N1266" i="3"/>
  <c r="N1173" i="3"/>
  <c r="N1226" i="3"/>
  <c r="N1295" i="3"/>
  <c r="N1250" i="3"/>
  <c r="N1358" i="3"/>
  <c r="N1344" i="3"/>
  <c r="N1282" i="3"/>
  <c r="N2814" i="3"/>
  <c r="N2803" i="3"/>
  <c r="N2802" i="3"/>
  <c r="N2790" i="3"/>
  <c r="K2776" i="3"/>
  <c r="J2776" i="3"/>
  <c r="I2776" i="3"/>
  <c r="N2810" i="3"/>
  <c r="N2796" i="3"/>
  <c r="N2791" i="3"/>
  <c r="N2783" i="3"/>
  <c r="I2780" i="3"/>
  <c r="N2780" i="3" s="1"/>
  <c r="N2778" i="3" l="1"/>
  <c r="N2812" i="3"/>
  <c r="N2776" i="3"/>
  <c r="N2788" i="3"/>
  <c r="N2794" i="3"/>
  <c r="N2786" i="3"/>
  <c r="C30" i="2"/>
  <c r="G5" i="5" s="1"/>
  <c r="N2775" i="3"/>
  <c r="N2757" i="3"/>
  <c r="N2711" i="3"/>
  <c r="N2705" i="3"/>
  <c r="M2678" i="3"/>
  <c r="N2678" i="3" s="1"/>
  <c r="K2682" i="3"/>
  <c r="J2682" i="3"/>
  <c r="I2682" i="3"/>
  <c r="N2773" i="3"/>
  <c r="N2770" i="3"/>
  <c r="N2767" i="3"/>
  <c r="N2764" i="3"/>
  <c r="N2761" i="3"/>
  <c r="N2758" i="3"/>
  <c r="N2754" i="3"/>
  <c r="N2751" i="3"/>
  <c r="N2748" i="3"/>
  <c r="N2745" i="3"/>
  <c r="N2742" i="3"/>
  <c r="N2739" i="3"/>
  <c r="N2731" i="3"/>
  <c r="N2728" i="3"/>
  <c r="N2717" i="3"/>
  <c r="N2712" i="3"/>
  <c r="N2708" i="3"/>
  <c r="N2698" i="3"/>
  <c r="N2689" i="3"/>
  <c r="N2686" i="3"/>
  <c r="I2679" i="3"/>
  <c r="N2679" i="3" s="1"/>
  <c r="N2696" i="3" l="1"/>
  <c r="N2726" i="3"/>
  <c r="N2684" i="3"/>
  <c r="N2720" i="3"/>
  <c r="N2682" i="3"/>
  <c r="N2715" i="3"/>
  <c r="N2703" i="3"/>
  <c r="N2706" i="3"/>
  <c r="N2692" i="3"/>
  <c r="N2722" i="3"/>
  <c r="N2701" i="3"/>
  <c r="N2694" i="3"/>
  <c r="N2724" i="3"/>
  <c r="C73" i="2"/>
  <c r="G11" i="5" s="1"/>
  <c r="F15" i="5"/>
  <c r="N2677" i="3" l="1"/>
  <c r="N2672" i="3"/>
  <c r="N2669" i="3"/>
  <c r="N2660" i="3"/>
  <c r="N2659" i="3"/>
  <c r="N2650" i="3"/>
  <c r="N2637" i="3"/>
  <c r="N2636" i="3"/>
  <c r="N2632" i="3"/>
  <c r="N2631" i="3"/>
  <c r="N2626" i="3"/>
  <c r="N2622" i="3"/>
  <c r="N2621" i="3"/>
  <c r="N2619" i="3"/>
  <c r="N2618" i="3"/>
  <c r="N2617" i="3"/>
  <c r="N2610" i="3"/>
  <c r="N2609" i="3"/>
  <c r="N2608" i="3"/>
  <c r="N2601" i="3"/>
  <c r="N2585" i="3"/>
  <c r="N2582" i="3"/>
  <c r="N2577" i="3"/>
  <c r="N2570" i="3"/>
  <c r="N2558" i="3"/>
  <c r="N2557" i="3"/>
  <c r="N2546" i="3"/>
  <c r="N2545" i="3"/>
  <c r="N2542" i="3"/>
  <c r="N2538" i="3"/>
  <c r="N2527" i="3"/>
  <c r="N2526" i="3"/>
  <c r="N2520" i="3"/>
  <c r="N2502" i="3"/>
  <c r="N2501" i="3"/>
  <c r="N2497" i="3"/>
  <c r="N2491" i="3"/>
  <c r="N2487" i="3"/>
  <c r="N2473" i="3"/>
  <c r="N2469" i="3"/>
  <c r="N2445" i="3"/>
  <c r="N2436" i="3"/>
  <c r="N2432" i="3"/>
  <c r="N2415" i="3"/>
  <c r="N2409" i="3"/>
  <c r="N2405" i="3"/>
  <c r="N2390" i="3"/>
  <c r="N2389" i="3"/>
  <c r="N2388" i="3"/>
  <c r="N2376" i="3"/>
  <c r="N2369" i="3"/>
  <c r="N2362" i="3"/>
  <c r="N2361" i="3"/>
  <c r="N2357" i="3"/>
  <c r="N2353" i="3"/>
  <c r="M2344" i="3"/>
  <c r="N2344" i="3" s="1"/>
  <c r="K2342" i="3"/>
  <c r="J2342" i="3"/>
  <c r="I2342" i="3"/>
  <c r="N2654" i="3"/>
  <c r="N2651" i="3"/>
  <c r="N2647" i="3"/>
  <c r="N2644" i="3"/>
  <c r="N2641" i="3"/>
  <c r="N2638" i="3"/>
  <c r="N2633" i="3"/>
  <c r="N2627" i="3"/>
  <c r="N2623" i="3"/>
  <c r="N2614" i="3"/>
  <c r="N2611" i="3"/>
  <c r="N2605" i="3"/>
  <c r="N2602" i="3"/>
  <c r="N2598" i="3"/>
  <c r="N2594" i="3"/>
  <c r="N2591" i="3"/>
  <c r="N2588" i="3"/>
  <c r="N2586" i="3"/>
  <c r="N2578" i="3"/>
  <c r="N2574" i="3"/>
  <c r="N2571" i="3"/>
  <c r="N2561" i="3"/>
  <c r="N2554" i="3"/>
  <c r="N2551" i="3"/>
  <c r="N2549" i="3"/>
  <c r="N2547" i="3"/>
  <c r="N2539" i="3"/>
  <c r="N2524" i="3"/>
  <c r="N2521" i="3"/>
  <c r="N2515" i="3"/>
  <c r="N2513" i="3"/>
  <c r="N2510" i="3"/>
  <c r="N2505" i="3"/>
  <c r="N2498" i="3"/>
  <c r="N2494" i="3"/>
  <c r="N2492" i="3"/>
  <c r="N2488" i="3"/>
  <c r="N2484" i="3"/>
  <c r="N2481" i="3"/>
  <c r="N2476" i="3"/>
  <c r="N2474" i="3"/>
  <c r="N2470" i="3"/>
  <c r="N2464" i="3"/>
  <c r="N2461" i="3"/>
  <c r="N2458" i="3"/>
  <c r="N2454" i="3"/>
  <c r="N2451" i="3"/>
  <c r="N2446" i="3"/>
  <c r="N2440" i="3"/>
  <c r="N2437" i="3"/>
  <c r="N2433" i="3"/>
  <c r="N2425" i="3"/>
  <c r="N2422" i="3"/>
  <c r="N2413" i="3"/>
  <c r="N2410" i="3"/>
  <c r="N2406" i="3"/>
  <c r="N2402" i="3"/>
  <c r="N2394" i="3"/>
  <c r="N2391" i="3"/>
  <c r="N2385" i="3"/>
  <c r="N2382" i="3"/>
  <c r="N2380" i="3"/>
  <c r="N2377" i="3"/>
  <c r="N2372" i="3"/>
  <c r="N2366" i="3"/>
  <c r="N2363" i="3"/>
  <c r="N2358" i="3"/>
  <c r="N2354" i="3"/>
  <c r="N2348" i="3"/>
  <c r="I2345" i="3"/>
  <c r="N2345" i="3" s="1"/>
  <c r="N2327" i="3"/>
  <c r="N2313" i="3"/>
  <c r="N2307" i="3"/>
  <c r="N2306" i="3"/>
  <c r="N2305" i="3"/>
  <c r="N2304" i="3"/>
  <c r="N2302" i="3"/>
  <c r="N2301" i="3"/>
  <c r="N2298" i="3"/>
  <c r="N2297" i="3"/>
  <c r="N2296" i="3"/>
  <c r="N2288" i="3"/>
  <c r="N2287" i="3"/>
  <c r="N2276" i="3"/>
  <c r="N2259" i="3"/>
  <c r="N2250" i="3"/>
  <c r="N2241" i="3"/>
  <c r="N2237" i="3"/>
  <c r="N2227" i="3"/>
  <c r="N2226" i="3"/>
  <c r="N2211" i="3"/>
  <c r="N2210" i="3"/>
  <c r="N2206" i="3"/>
  <c r="N2205" i="3"/>
  <c r="N2204" i="3"/>
  <c r="N2197" i="3"/>
  <c r="N2196" i="3"/>
  <c r="N2195" i="3"/>
  <c r="N2191" i="3"/>
  <c r="N2190" i="3"/>
  <c r="N2189" i="3"/>
  <c r="N2183" i="3"/>
  <c r="N2175" i="3"/>
  <c r="N2169" i="3"/>
  <c r="N2155" i="3"/>
  <c r="N2148" i="3"/>
  <c r="N2147" i="3"/>
  <c r="N2146" i="3"/>
  <c r="N2145" i="3"/>
  <c r="N2100" i="3"/>
  <c r="N2062" i="3"/>
  <c r="N2056" i="3"/>
  <c r="N2055" i="3"/>
  <c r="N2004" i="3"/>
  <c r="N1982" i="3"/>
  <c r="N1980" i="3"/>
  <c r="N1979" i="3"/>
  <c r="N1978" i="3"/>
  <c r="N1977" i="3"/>
  <c r="N1973" i="3"/>
  <c r="N1972" i="3"/>
  <c r="N1968" i="3"/>
  <c r="N1967" i="3"/>
  <c r="N1966" i="3"/>
  <c r="N1965" i="3"/>
  <c r="N1964" i="3"/>
  <c r="N1963" i="3"/>
  <c r="N1960" i="3"/>
  <c r="N1959" i="3"/>
  <c r="N1958" i="3"/>
  <c r="N1954" i="3"/>
  <c r="N1950" i="3"/>
  <c r="N1949" i="3"/>
  <c r="N1946" i="3"/>
  <c r="N1938" i="3"/>
  <c r="N1937" i="3"/>
  <c r="N1931" i="3"/>
  <c r="N1919" i="3"/>
  <c r="N1909" i="3"/>
  <c r="N1902" i="3"/>
  <c r="N1901" i="3"/>
  <c r="N1896" i="3"/>
  <c r="N1895" i="3"/>
  <c r="N1894" i="3"/>
  <c r="N1880" i="3"/>
  <c r="N1875" i="3"/>
  <c r="N1863" i="3"/>
  <c r="N1859" i="3"/>
  <c r="N1858" i="3"/>
  <c r="N1846" i="3"/>
  <c r="N1845" i="3"/>
  <c r="N1839" i="3"/>
  <c r="N1838" i="3"/>
  <c r="N1837" i="3"/>
  <c r="N1836" i="3"/>
  <c r="N1830" i="3"/>
  <c r="N1826" i="3"/>
  <c r="N1825" i="3"/>
  <c r="N1824" i="3"/>
  <c r="M1819" i="3"/>
  <c r="N1819" i="3" s="1"/>
  <c r="K1820" i="3"/>
  <c r="J1820" i="3"/>
  <c r="I1820" i="3"/>
  <c r="N2337" i="3"/>
  <c r="N2334" i="3"/>
  <c r="N2322" i="3"/>
  <c r="N2319" i="3"/>
  <c r="N2316" i="3"/>
  <c r="N2310" i="3"/>
  <c r="N2289" i="3"/>
  <c r="N2279" i="3"/>
  <c r="N2273" i="3"/>
  <c r="N2270" i="3"/>
  <c r="N2265" i="3"/>
  <c r="N2262" i="3"/>
  <c r="N2256" i="3"/>
  <c r="N2251" i="3"/>
  <c r="N2247" i="3"/>
  <c r="N2242" i="3"/>
  <c r="N2238" i="3"/>
  <c r="N2230" i="3"/>
  <c r="N2221" i="3"/>
  <c r="N2219" i="3"/>
  <c r="N2214" i="3"/>
  <c r="N2207" i="3"/>
  <c r="N2201" i="3"/>
  <c r="N2198" i="3"/>
  <c r="N2192" i="3"/>
  <c r="N2186" i="3"/>
  <c r="N2184" i="3"/>
  <c r="N2176" i="3"/>
  <c r="N2172" i="3"/>
  <c r="N2166" i="3"/>
  <c r="N2163" i="3"/>
  <c r="N2158" i="3"/>
  <c r="N2152" i="3"/>
  <c r="N2149" i="3"/>
  <c r="N2142" i="3"/>
  <c r="N2137" i="3"/>
  <c r="N2134" i="3"/>
  <c r="N2131" i="3"/>
  <c r="N2128" i="3"/>
  <c r="N2125" i="3"/>
  <c r="N2122" i="3"/>
  <c r="N2119" i="3"/>
  <c r="N2115" i="3"/>
  <c r="N2112" i="3"/>
  <c r="N2107" i="3"/>
  <c r="N2104" i="3"/>
  <c r="N2101" i="3"/>
  <c r="N2095" i="3"/>
  <c r="N2092" i="3"/>
  <c r="N2089" i="3"/>
  <c r="N2086" i="3"/>
  <c r="N2083" i="3"/>
  <c r="N2080" i="3"/>
  <c r="N2077" i="3"/>
  <c r="N2072" i="3"/>
  <c r="N2069" i="3"/>
  <c r="N2066" i="3"/>
  <c r="N2063" i="3"/>
  <c r="N2059" i="3"/>
  <c r="N2052" i="3"/>
  <c r="N2049" i="3"/>
  <c r="N2046" i="3"/>
  <c r="N2043" i="3"/>
  <c r="N2040" i="3"/>
  <c r="N2037" i="3"/>
  <c r="N2034" i="3"/>
  <c r="N2027" i="3"/>
  <c r="N2024" i="3"/>
  <c r="N2021" i="3"/>
  <c r="N2014" i="3"/>
  <c r="N2011" i="3"/>
  <c r="N2008" i="3"/>
  <c r="N2005" i="3"/>
  <c r="N2001" i="3"/>
  <c r="N1998" i="3"/>
  <c r="N1995" i="3"/>
  <c r="N1992" i="3"/>
  <c r="N1989" i="3"/>
  <c r="N1974" i="3"/>
  <c r="N1969" i="3"/>
  <c r="N1955" i="3"/>
  <c r="N1951" i="3"/>
  <c r="N1947" i="3"/>
  <c r="N1943" i="3"/>
  <c r="N1934" i="3"/>
  <c r="N1932" i="3"/>
  <c r="N1926" i="3"/>
  <c r="N1923" i="3"/>
  <c r="N1920" i="3"/>
  <c r="N1914" i="3"/>
  <c r="N1910" i="3"/>
  <c r="N1906" i="3"/>
  <c r="N1903" i="3"/>
  <c r="N1892" i="3"/>
  <c r="N1889" i="3"/>
  <c r="N1886" i="3"/>
  <c r="N1883" i="3"/>
  <c r="N1876" i="3"/>
  <c r="N1871" i="3"/>
  <c r="N1868" i="3"/>
  <c r="N1860" i="3"/>
  <c r="N1855" i="3"/>
  <c r="N1850" i="3"/>
  <c r="N1847" i="3"/>
  <c r="N1840" i="3"/>
  <c r="N1833" i="3"/>
  <c r="N1831" i="3"/>
  <c r="N1827" i="3"/>
  <c r="I1822" i="3"/>
  <c r="N1822" i="3" s="1"/>
  <c r="N1818" i="3"/>
  <c r="N1817" i="3"/>
  <c r="N1816" i="3"/>
  <c r="N1815" i="3"/>
  <c r="N1814" i="3"/>
  <c r="N1811" i="3"/>
  <c r="N1810" i="3"/>
  <c r="N1809" i="3"/>
  <c r="N1808" i="3"/>
  <c r="N1807" i="3"/>
  <c r="N1806" i="3"/>
  <c r="N1802" i="3"/>
  <c r="N1801" i="3"/>
  <c r="N1798" i="3"/>
  <c r="N1795" i="3"/>
  <c r="N1794" i="3"/>
  <c r="N1793" i="3"/>
  <c r="N1792" i="3"/>
  <c r="N1791" i="3"/>
  <c r="N1790" i="3"/>
  <c r="N1789" i="3"/>
  <c r="N1788" i="3"/>
  <c r="N1785" i="3"/>
  <c r="N1784" i="3"/>
  <c r="N1783" i="3"/>
  <c r="N1782" i="3"/>
  <c r="N1781" i="3"/>
  <c r="N1780" i="3"/>
  <c r="N1779" i="3"/>
  <c r="N1778" i="3"/>
  <c r="M1776" i="3"/>
  <c r="N1776" i="3" s="1"/>
  <c r="K1775" i="3"/>
  <c r="J1775" i="3"/>
  <c r="I1775" i="3"/>
  <c r="N1812" i="3"/>
  <c r="N1803" i="3"/>
  <c r="N1796" i="3"/>
  <c r="N1786" i="3"/>
  <c r="I1773" i="3"/>
  <c r="N1773" i="3" s="1"/>
  <c r="N2667" i="3" l="1"/>
  <c r="N1799" i="3"/>
  <c r="N1879" i="3"/>
  <c r="N1941" i="3"/>
  <c r="N2075" i="3"/>
  <c r="N2179" i="3"/>
  <c r="N2245" i="3"/>
  <c r="N2285" i="3"/>
  <c r="N2328" i="3"/>
  <c r="N2430" i="3"/>
  <c r="N2518" i="3"/>
  <c r="N2564" i="3"/>
  <c r="N2657" i="3"/>
  <c r="N1775" i="3"/>
  <c r="N2375" i="3"/>
  <c r="N1843" i="3"/>
  <c r="C66" i="2" s="1"/>
  <c r="N1899" i="3"/>
  <c r="N2017" i="3"/>
  <c r="N2117" i="3"/>
  <c r="N2217" i="3"/>
  <c r="N2260" i="3"/>
  <c r="N2299" i="3"/>
  <c r="N2339" i="3"/>
  <c r="N2400" i="3"/>
  <c r="N2457" i="3"/>
  <c r="N2532" i="3"/>
  <c r="N2581" i="3"/>
  <c r="N2673" i="3"/>
  <c r="N2370" i="3"/>
  <c r="N2428" i="3"/>
  <c r="N2508" i="3"/>
  <c r="N2559" i="3"/>
  <c r="N2629" i="3"/>
  <c r="N1864" i="3"/>
  <c r="N1917" i="3"/>
  <c r="N2030" i="3"/>
  <c r="N2156" i="3"/>
  <c r="N2228" i="3"/>
  <c r="N2277" i="3"/>
  <c r="N2308" i="3"/>
  <c r="N2342" i="3"/>
  <c r="N2418" i="3"/>
  <c r="N2479" i="3"/>
  <c r="N2536" i="3"/>
  <c r="N2597" i="3"/>
  <c r="N1866" i="3"/>
  <c r="N1929" i="3"/>
  <c r="N2032" i="3"/>
  <c r="N2161" i="3"/>
  <c r="N2233" i="3"/>
  <c r="N2282" i="3"/>
  <c r="N2314" i="3"/>
  <c r="N2351" i="3"/>
  <c r="N2420" i="3"/>
  <c r="N2503" i="3"/>
  <c r="N2543" i="3"/>
  <c r="N2620" i="3"/>
  <c r="N1881" i="3"/>
  <c r="N1961" i="3"/>
  <c r="N2098" i="3"/>
  <c r="N2181" i="3"/>
  <c r="N2253" i="3"/>
  <c r="N2292" i="3"/>
  <c r="N2330" i="3"/>
  <c r="N2396" i="3"/>
  <c r="N2443" i="3"/>
  <c r="N2528" i="3"/>
  <c r="N2566" i="3"/>
  <c r="N1853" i="3"/>
  <c r="N1913" i="3"/>
  <c r="N2019" i="3"/>
  <c r="N2140" i="3"/>
  <c r="N2224" i="3"/>
  <c r="N2268" i="3"/>
  <c r="N2303" i="3"/>
  <c r="N2341" i="3"/>
  <c r="N2416" i="3"/>
  <c r="N2467" i="3"/>
  <c r="N2534" i="3"/>
  <c r="N2583" i="3"/>
  <c r="N2675" i="3"/>
  <c r="N1873" i="3"/>
  <c r="N1939" i="3"/>
  <c r="N2057" i="3"/>
  <c r="N2170" i="3"/>
  <c r="N2235" i="3"/>
  <c r="N2283" i="3"/>
  <c r="N2325" i="3"/>
  <c r="N1820" i="3"/>
  <c r="N1897" i="3"/>
  <c r="N1981" i="3"/>
  <c r="N2110" i="3"/>
  <c r="N2212" i="3"/>
  <c r="N2255" i="3"/>
  <c r="N2294" i="3"/>
  <c r="N2332" i="3"/>
  <c r="N2398" i="3"/>
  <c r="N2449" i="3"/>
  <c r="N2530" i="3"/>
  <c r="N2568" i="3"/>
  <c r="N2670" i="3"/>
  <c r="C82" i="2"/>
  <c r="G12" i="5" s="1"/>
  <c r="N829" i="3"/>
  <c r="N828" i="3"/>
  <c r="N827" i="3"/>
  <c r="N826" i="3"/>
  <c r="N825" i="3"/>
  <c r="N822" i="3"/>
  <c r="N816" i="3"/>
  <c r="N815" i="3"/>
  <c r="N806" i="3"/>
  <c r="N802" i="3"/>
  <c r="N791" i="3"/>
  <c r="N790" i="3"/>
  <c r="N789" i="3"/>
  <c r="N781" i="3"/>
  <c r="N780" i="3"/>
  <c r="N773" i="3"/>
  <c r="N772" i="3"/>
  <c r="N769" i="3"/>
  <c r="N766" i="3"/>
  <c r="N765" i="3"/>
  <c r="N764" i="3"/>
  <c r="N760" i="3"/>
  <c r="N759" i="3"/>
  <c r="N758" i="3"/>
  <c r="N754" i="3"/>
  <c r="N753" i="3"/>
  <c r="N752" i="3"/>
  <c r="N735" i="3"/>
  <c r="N728" i="3"/>
  <c r="N722" i="3"/>
  <c r="N715" i="3"/>
  <c r="N697" i="3"/>
  <c r="N696" i="3"/>
  <c r="N686" i="3"/>
  <c r="N682" i="3"/>
  <c r="N678" i="3"/>
  <c r="N675" i="3"/>
  <c r="N674" i="3"/>
  <c r="N658" i="3"/>
  <c r="N631" i="3"/>
  <c r="N630" i="3"/>
  <c r="N623" i="3"/>
  <c r="M611" i="3"/>
  <c r="N611" i="3" s="1"/>
  <c r="K618" i="3"/>
  <c r="J618" i="3"/>
  <c r="I618" i="3"/>
  <c r="N817" i="3"/>
  <c r="N813" i="3"/>
  <c r="N803" i="3"/>
  <c r="N799" i="3"/>
  <c r="N794" i="3"/>
  <c r="N786" i="3"/>
  <c r="N777" i="3"/>
  <c r="N774" i="3"/>
  <c r="N767" i="3"/>
  <c r="N761" i="3"/>
  <c r="N756" i="3"/>
  <c r="N747" i="3"/>
  <c r="N745" i="3"/>
  <c r="N742" i="3"/>
  <c r="N739" i="3"/>
  <c r="N736" i="3"/>
  <c r="N732" i="3"/>
  <c r="N729" i="3"/>
  <c r="N725" i="3"/>
  <c r="N719" i="3"/>
  <c r="N716" i="3"/>
  <c r="N710" i="3"/>
  <c r="N707" i="3"/>
  <c r="N704" i="3"/>
  <c r="N701" i="3"/>
  <c r="N698" i="3"/>
  <c r="N693" i="3"/>
  <c r="N690" i="3"/>
  <c r="N687" i="3"/>
  <c r="N683" i="3"/>
  <c r="N679" i="3"/>
  <c r="N670" i="3"/>
  <c r="N668" i="3"/>
  <c r="N665" i="3"/>
  <c r="N662" i="3"/>
  <c r="N659" i="3"/>
  <c r="N655" i="3"/>
  <c r="N652" i="3"/>
  <c r="N649" i="3"/>
  <c r="N644" i="3"/>
  <c r="N641" i="3"/>
  <c r="N638" i="3"/>
  <c r="N635" i="3"/>
  <c r="N632" i="3"/>
  <c r="N627" i="3"/>
  <c r="N624" i="3"/>
  <c r="N620" i="3"/>
  <c r="N615" i="3"/>
  <c r="N612" i="3"/>
  <c r="I608" i="3"/>
  <c r="N608" i="3" s="1"/>
  <c r="N1151" i="3"/>
  <c r="N1150" i="3"/>
  <c r="N1149" i="3"/>
  <c r="N1148" i="3"/>
  <c r="N1144" i="3"/>
  <c r="N1143" i="3"/>
  <c r="N1140" i="3"/>
  <c r="N1139" i="3"/>
  <c r="N1133" i="3"/>
  <c r="N1132" i="3"/>
  <c r="N1128" i="3"/>
  <c r="N1121" i="3"/>
  <c r="N1120" i="3"/>
  <c r="N1119" i="3"/>
  <c r="N1114" i="3"/>
  <c r="N1111" i="3"/>
  <c r="N1106" i="3"/>
  <c r="N1102" i="3"/>
  <c r="N1097" i="3"/>
  <c r="N1096" i="3"/>
  <c r="N1095" i="3"/>
  <c r="N1090" i="3"/>
  <c r="N1087" i="3"/>
  <c r="N1086" i="3"/>
  <c r="N1085" i="3"/>
  <c r="N1084" i="3"/>
  <c r="M1083" i="3"/>
  <c r="N1083" i="3" s="1"/>
  <c r="N1145" i="3"/>
  <c r="N1134" i="3"/>
  <c r="N1129" i="3"/>
  <c r="N1122" i="3"/>
  <c r="N1116" i="3"/>
  <c r="N1103" i="3"/>
  <c r="I1100" i="3"/>
  <c r="N1100" i="3" s="1"/>
  <c r="N607" i="3"/>
  <c r="N606" i="3"/>
  <c r="N603" i="3"/>
  <c r="N593" i="3"/>
  <c r="N592" i="3"/>
  <c r="N588" i="3"/>
  <c r="N575" i="3"/>
  <c r="N574" i="3"/>
  <c r="N573" i="3"/>
  <c r="N570" i="3"/>
  <c r="N562" i="3"/>
  <c r="N561" i="3"/>
  <c r="N554" i="3"/>
  <c r="N551" i="3"/>
  <c r="N545" i="3"/>
  <c r="N544" i="3"/>
  <c r="N543" i="3"/>
  <c r="N542" i="3"/>
  <c r="N541" i="3"/>
  <c r="N540" i="3"/>
  <c r="N539" i="3"/>
  <c r="N530" i="3"/>
  <c r="N523" i="3"/>
  <c r="N517" i="3"/>
  <c r="N516" i="3"/>
  <c r="N515" i="3"/>
  <c r="N514" i="3"/>
  <c r="N513" i="3"/>
  <c r="N497" i="3"/>
  <c r="N481" i="3"/>
  <c r="N480" i="3"/>
  <c r="N474" i="3"/>
  <c r="M448" i="3"/>
  <c r="N448" i="3" s="1"/>
  <c r="K441" i="3"/>
  <c r="J441" i="3"/>
  <c r="I441" i="3"/>
  <c r="N597" i="3"/>
  <c r="N585" i="3"/>
  <c r="N580" i="3"/>
  <c r="N578" i="3"/>
  <c r="N571" i="3"/>
  <c r="N568" i="3"/>
  <c r="N565" i="3"/>
  <c r="N563" i="3"/>
  <c r="N552" i="3"/>
  <c r="N546" i="3"/>
  <c r="N534" i="3"/>
  <c r="N531" i="3"/>
  <c r="N528" i="3"/>
  <c r="N526" i="3"/>
  <c r="N520" i="3"/>
  <c r="N518" i="3"/>
  <c r="N504" i="3"/>
  <c r="N501" i="3"/>
  <c r="N498" i="3"/>
  <c r="N494" i="3"/>
  <c r="N491" i="3"/>
  <c r="N488" i="3"/>
  <c r="N485" i="3"/>
  <c r="N482" i="3"/>
  <c r="N477" i="3"/>
  <c r="N471" i="3"/>
  <c r="N468" i="3"/>
  <c r="N465" i="3"/>
  <c r="N462" i="3"/>
  <c r="N459" i="3"/>
  <c r="N456" i="3"/>
  <c r="N453" i="3"/>
  <c r="N452" i="3"/>
  <c r="N449" i="3"/>
  <c r="N446" i="3"/>
  <c r="I443" i="3"/>
  <c r="N443" i="3" s="1"/>
  <c r="N1772" i="3"/>
  <c r="N1767" i="3"/>
  <c r="N1766" i="3"/>
  <c r="N1765" i="3"/>
  <c r="N1764" i="3"/>
  <c r="N1763" i="3"/>
  <c r="N1762" i="3"/>
  <c r="N1761" i="3"/>
  <c r="N1758" i="3"/>
  <c r="N1757" i="3"/>
  <c r="N1756" i="3"/>
  <c r="N1746" i="3"/>
  <c r="N1739" i="3"/>
  <c r="N1738" i="3"/>
  <c r="N1734" i="3"/>
  <c r="N1733" i="3"/>
  <c r="N1732" i="3"/>
  <c r="N1729" i="3"/>
  <c r="N1726" i="3"/>
  <c r="N1725" i="3"/>
  <c r="N1720" i="3"/>
  <c r="N1719" i="3"/>
  <c r="N1718" i="3"/>
  <c r="N1717" i="3"/>
  <c r="N1710" i="3"/>
  <c r="N1709" i="3"/>
  <c r="N1708" i="3"/>
  <c r="N1707" i="3"/>
  <c r="N1706" i="3"/>
  <c r="N1705" i="3"/>
  <c r="N1704" i="3"/>
  <c r="N1703" i="3"/>
  <c r="N1700" i="3"/>
  <c r="N1696" i="3"/>
  <c r="N1695" i="3"/>
  <c r="N1694" i="3"/>
  <c r="N1693" i="3"/>
  <c r="N1692" i="3"/>
  <c r="N1682" i="3"/>
  <c r="N1678" i="3"/>
  <c r="N1677" i="3"/>
  <c r="N1676" i="3"/>
  <c r="M1673" i="3"/>
  <c r="N1673" i="3" s="1"/>
  <c r="K1674" i="3"/>
  <c r="J1674" i="3"/>
  <c r="I1674" i="3"/>
  <c r="N1759" i="3"/>
  <c r="N1751" i="3"/>
  <c r="N1748" i="3"/>
  <c r="N1742" i="3"/>
  <c r="N1735" i="3"/>
  <c r="N1723" i="3"/>
  <c r="I1679" i="3"/>
  <c r="N1679" i="3" s="1"/>
  <c r="N1672" i="3"/>
  <c r="N1671" i="3"/>
  <c r="N1670" i="3"/>
  <c r="N1666" i="3"/>
  <c r="N1663" i="3"/>
  <c r="N1660" i="3"/>
  <c r="N1659" i="3"/>
  <c r="N1658" i="3"/>
  <c r="N1657" i="3"/>
  <c r="N1656" i="3"/>
  <c r="N1655" i="3"/>
  <c r="N1652" i="3"/>
  <c r="N1643" i="3"/>
  <c r="N1642" i="3"/>
  <c r="N1641" i="3"/>
  <c r="N1640" i="3"/>
  <c r="N1639" i="3"/>
  <c r="N1635" i="3"/>
  <c r="N1632" i="3"/>
  <c r="N1631" i="3"/>
  <c r="N1628" i="3"/>
  <c r="N1627" i="3"/>
  <c r="N1626" i="3"/>
  <c r="N1625" i="3"/>
  <c r="N1624" i="3"/>
  <c r="N1614" i="3"/>
  <c r="N1611" i="3"/>
  <c r="N1610" i="3"/>
  <c r="N1602" i="3"/>
  <c r="N1601" i="3"/>
  <c r="N1600" i="3"/>
  <c r="N1599" i="3"/>
  <c r="N1596" i="3"/>
  <c r="N1590" i="3"/>
  <c r="N1589" i="3"/>
  <c r="N1586" i="3"/>
  <c r="N1585" i="3"/>
  <c r="N1584" i="3"/>
  <c r="N1583" i="3"/>
  <c r="N1575" i="3"/>
  <c r="N1565" i="3"/>
  <c r="N1562" i="3"/>
  <c r="N1561" i="3"/>
  <c r="N1548" i="3"/>
  <c r="N1547" i="3"/>
  <c r="N1546" i="3"/>
  <c r="N1545" i="3"/>
  <c r="N1544" i="3"/>
  <c r="N1543" i="3"/>
  <c r="N1538" i="3"/>
  <c r="N1537" i="3"/>
  <c r="N1536" i="3"/>
  <c r="N1535" i="3"/>
  <c r="N1534" i="3"/>
  <c r="N1533" i="3"/>
  <c r="N1525" i="3"/>
  <c r="N1524" i="3"/>
  <c r="N1521" i="3"/>
  <c r="N1520" i="3"/>
  <c r="N1513" i="3"/>
  <c r="N1512" i="3"/>
  <c r="N1509" i="3"/>
  <c r="N1508" i="3"/>
  <c r="N1507" i="3"/>
  <c r="N1506" i="3"/>
  <c r="N1503" i="3"/>
  <c r="N1493" i="3"/>
  <c r="N1490" i="3"/>
  <c r="N1481" i="3"/>
  <c r="N1480" i="3"/>
  <c r="N1479" i="3"/>
  <c r="N1478" i="3"/>
  <c r="N1477" i="3"/>
  <c r="N1476" i="3"/>
  <c r="N1473" i="3"/>
  <c r="N1472" i="3"/>
  <c r="N1471" i="3"/>
  <c r="N1470" i="3"/>
  <c r="N1469" i="3"/>
  <c r="N1466" i="3"/>
  <c r="N1465" i="3"/>
  <c r="N1464" i="3"/>
  <c r="N1463" i="3"/>
  <c r="N1462" i="3"/>
  <c r="N1461" i="3"/>
  <c r="N1460" i="3"/>
  <c r="N1459" i="3"/>
  <c r="N1458" i="3"/>
  <c r="N1457" i="3"/>
  <c r="N1453" i="3"/>
  <c r="N1452" i="3"/>
  <c r="N1451" i="3"/>
  <c r="N1446" i="3"/>
  <c r="N1445" i="3"/>
  <c r="N1442" i="3"/>
  <c r="N1441" i="3"/>
  <c r="N1440" i="3"/>
  <c r="N1439" i="3"/>
  <c r="N1438" i="3"/>
  <c r="N1437" i="3"/>
  <c r="N1436" i="3"/>
  <c r="N1435" i="3"/>
  <c r="N1432" i="3"/>
  <c r="N1427" i="3"/>
  <c r="N1426" i="3"/>
  <c r="N1423" i="3"/>
  <c r="N1420" i="3"/>
  <c r="N1419" i="3"/>
  <c r="N1418" i="3"/>
  <c r="N1417" i="3"/>
  <c r="N1411" i="3"/>
  <c r="N1400" i="3"/>
  <c r="N1397" i="3"/>
  <c r="N1396" i="3"/>
  <c r="M1395" i="3"/>
  <c r="N1395" i="3" s="1"/>
  <c r="K1393" i="3"/>
  <c r="J1393" i="3"/>
  <c r="I1393" i="3"/>
  <c r="N1667" i="3"/>
  <c r="N1653" i="3"/>
  <c r="N1649" i="3"/>
  <c r="N1644" i="3"/>
  <c r="N1636" i="3"/>
  <c r="N1615" i="3"/>
  <c r="N1603" i="3"/>
  <c r="N1593" i="3"/>
  <c r="N1580" i="3"/>
  <c r="N1572" i="3"/>
  <c r="N1563" i="3"/>
  <c r="N1558" i="3"/>
  <c r="N1551" i="3"/>
  <c r="N1530" i="3"/>
  <c r="N1517" i="3"/>
  <c r="N1514" i="3"/>
  <c r="N1504" i="3"/>
  <c r="N1498" i="3"/>
  <c r="N1497" i="3"/>
  <c r="N1495" i="3"/>
  <c r="N1494" i="3"/>
  <c r="N1454" i="3"/>
  <c r="N1431" i="3"/>
  <c r="N1428" i="3"/>
  <c r="N1415" i="3"/>
  <c r="N1412" i="3"/>
  <c r="N1408" i="3"/>
  <c r="N1407" i="3"/>
  <c r="N1401" i="3"/>
  <c r="I1398" i="3"/>
  <c r="N1398" i="3" s="1"/>
  <c r="C96" i="2" l="1"/>
  <c r="N1403" i="3"/>
  <c r="N1447" i="3"/>
  <c r="N1491" i="3"/>
  <c r="N1541" i="3"/>
  <c r="N1578" i="3"/>
  <c r="N1620" i="3"/>
  <c r="N555" i="3"/>
  <c r="N596" i="3"/>
  <c r="N1699" i="3"/>
  <c r="N1697" i="3"/>
  <c r="N1730" i="3"/>
  <c r="N549" i="3"/>
  <c r="N594" i="3"/>
  <c r="N1152" i="3"/>
  <c r="N1107" i="3"/>
  <c r="N618" i="3"/>
  <c r="C59" i="2" s="1"/>
  <c r="N770" i="3"/>
  <c r="N1421" i="3"/>
  <c r="N1474" i="3"/>
  <c r="N1510" i="3"/>
  <c r="N1556" i="3"/>
  <c r="N1597" i="3"/>
  <c r="N1633" i="3"/>
  <c r="N1711" i="3"/>
  <c r="N1747" i="3"/>
  <c r="N676" i="3"/>
  <c r="N792" i="3"/>
  <c r="N1443" i="3"/>
  <c r="N1488" i="3"/>
  <c r="N1539" i="3"/>
  <c r="N1576" i="3"/>
  <c r="N1618" i="3"/>
  <c r="N1684" i="3"/>
  <c r="N1727" i="3"/>
  <c r="N537" i="3"/>
  <c r="N590" i="3"/>
  <c r="N1098" i="3"/>
  <c r="N1141" i="3"/>
  <c r="N755" i="3"/>
  <c r="N1406" i="3"/>
  <c r="N1467" i="3"/>
  <c r="N1502" i="3"/>
  <c r="N1554" i="3"/>
  <c r="N1591" i="3"/>
  <c r="N1629" i="3"/>
  <c r="N1701" i="3"/>
  <c r="N1745" i="3"/>
  <c r="N557" i="3"/>
  <c r="N599" i="3"/>
  <c r="N1112" i="3"/>
  <c r="N672" i="3"/>
  <c r="N784" i="3"/>
  <c r="N1433" i="3"/>
  <c r="N1484" i="3"/>
  <c r="N1526" i="3"/>
  <c r="N1568" i="3"/>
  <c r="N1608" i="3"/>
  <c r="N1661" i="3"/>
  <c r="N1674" i="3"/>
  <c r="N1715" i="3"/>
  <c r="N1768" i="3"/>
  <c r="N475" i="3"/>
  <c r="N583" i="3"/>
  <c r="N1091" i="3"/>
  <c r="N1127" i="3"/>
  <c r="N723" i="3"/>
  <c r="N820" i="3"/>
  <c r="N559" i="3"/>
  <c r="N601" i="3"/>
  <c r="N1115" i="3"/>
  <c r="N1434" i="3"/>
  <c r="N1486" i="3"/>
  <c r="N1528" i="3"/>
  <c r="N1570" i="3"/>
  <c r="N1612" i="3"/>
  <c r="N1664" i="3"/>
  <c r="N1683" i="3"/>
  <c r="N1721" i="3"/>
  <c r="N1770" i="3"/>
  <c r="N524" i="3"/>
  <c r="N589" i="3"/>
  <c r="N1093" i="3"/>
  <c r="N1137" i="3"/>
  <c r="N750" i="3"/>
  <c r="N823" i="3"/>
  <c r="N1405" i="3"/>
  <c r="N1449" i="3"/>
  <c r="N1740" i="3"/>
  <c r="N1109" i="3"/>
  <c r="N647" i="3"/>
  <c r="N782" i="3"/>
  <c r="N1500" i="3"/>
  <c r="N1549" i="3"/>
  <c r="N1587" i="3"/>
  <c r="N1622" i="3"/>
  <c r="N1424" i="3"/>
  <c r="N1482" i="3"/>
  <c r="N1522" i="3"/>
  <c r="N1566" i="3"/>
  <c r="N1606" i="3"/>
  <c r="N1647" i="3"/>
  <c r="N1713" i="3"/>
  <c r="N1754" i="3"/>
  <c r="N441" i="3"/>
  <c r="C52" i="2" s="1"/>
  <c r="N576" i="3"/>
  <c r="N604" i="3"/>
  <c r="N1125" i="3"/>
  <c r="N713" i="3"/>
  <c r="N797" i="3"/>
  <c r="N1393" i="3"/>
  <c r="C14" i="2"/>
  <c r="G3" i="5" s="1"/>
  <c r="C45" i="2"/>
  <c r="G7" i="5" s="1"/>
  <c r="N1076" i="3"/>
  <c r="N1044" i="3"/>
  <c r="N1041" i="3"/>
  <c r="N1040" i="3"/>
  <c r="N1039" i="3"/>
  <c r="N1038" i="3"/>
  <c r="N1035" i="3"/>
  <c r="N1034" i="3"/>
  <c r="N1033" i="3"/>
  <c r="N1032" i="3"/>
  <c r="N1031" i="3"/>
  <c r="N1030" i="3"/>
  <c r="N1027" i="3"/>
  <c r="N1026" i="3"/>
  <c r="N1022" i="3"/>
  <c r="N1018" i="3"/>
  <c r="N1011" i="3"/>
  <c r="N1010" i="3"/>
  <c r="N997" i="3"/>
  <c r="N992" i="3"/>
  <c r="N987" i="3"/>
  <c r="N979" i="3"/>
  <c r="N976" i="3"/>
  <c r="N968" i="3"/>
  <c r="N967" i="3"/>
  <c r="N966" i="3"/>
  <c r="N963" i="3"/>
  <c r="N962" i="3"/>
  <c r="N953" i="3"/>
  <c r="N952" i="3"/>
  <c r="N951" i="3"/>
  <c r="N950" i="3"/>
  <c r="N949" i="3"/>
  <c r="N946" i="3"/>
  <c r="N945" i="3"/>
  <c r="N944" i="3"/>
  <c r="N943" i="3"/>
  <c r="N940" i="3"/>
  <c r="N937" i="3"/>
  <c r="N936" i="3"/>
  <c r="N935" i="3"/>
  <c r="N932" i="3"/>
  <c r="N929" i="3"/>
  <c r="N912" i="3"/>
  <c r="N911" i="3"/>
  <c r="N909" i="3"/>
  <c r="N908" i="3"/>
  <c r="N907" i="3"/>
  <c r="N906" i="3"/>
  <c r="N898" i="3"/>
  <c r="N894" i="3"/>
  <c r="N892" i="3"/>
  <c r="N888" i="3"/>
  <c r="N881" i="3"/>
  <c r="N879" i="3"/>
  <c r="N878" i="3"/>
  <c r="N877" i="3"/>
  <c r="N874" i="3"/>
  <c r="N869" i="3"/>
  <c r="N867" i="3"/>
  <c r="N863" i="3"/>
  <c r="N858" i="3"/>
  <c r="N854" i="3"/>
  <c r="N853" i="3"/>
  <c r="N838" i="3"/>
  <c r="N837" i="3"/>
  <c r="N836" i="3"/>
  <c r="M833" i="3"/>
  <c r="N833" i="3" s="1"/>
  <c r="N1081" i="3"/>
  <c r="N1074" i="3"/>
  <c r="N1064" i="3"/>
  <c r="N1012" i="3"/>
  <c r="N988" i="3"/>
  <c r="N964" i="3"/>
  <c r="N930" i="3"/>
  <c r="N899" i="3"/>
  <c r="N859" i="3"/>
  <c r="K834" i="3"/>
  <c r="I834" i="3"/>
  <c r="J834" i="3"/>
  <c r="N1055" i="3"/>
  <c r="N1050" i="3"/>
  <c r="N1045" i="3"/>
  <c r="N1036" i="3"/>
  <c r="N1023" i="3"/>
  <c r="N1019" i="3"/>
  <c r="N1016" i="3"/>
  <c r="N1014" i="3"/>
  <c r="N1007" i="3"/>
  <c r="N1004" i="3"/>
  <c r="N1001" i="3"/>
  <c r="N998" i="3"/>
  <c r="N993" i="3"/>
  <c r="N982" i="3"/>
  <c r="N971" i="3"/>
  <c r="N969" i="3"/>
  <c r="N960" i="3"/>
  <c r="N957" i="3"/>
  <c r="N954" i="3"/>
  <c r="N941" i="3"/>
  <c r="N938" i="3"/>
  <c r="N921" i="3"/>
  <c r="N917" i="3"/>
  <c r="N913" i="3"/>
  <c r="N901" i="3"/>
  <c r="N895" i="3"/>
  <c r="N889" i="3"/>
  <c r="N886" i="3"/>
  <c r="N882" i="3"/>
  <c r="N875" i="3"/>
  <c r="N870" i="3"/>
  <c r="N868" i="3"/>
  <c r="N864" i="3"/>
  <c r="N861" i="3"/>
  <c r="N855" i="3"/>
  <c r="N841" i="3"/>
  <c r="I830" i="3"/>
  <c r="N830" i="3" s="1"/>
  <c r="C89" i="2" l="1"/>
  <c r="N847" i="3"/>
  <c r="N915" i="3"/>
  <c r="N1058" i="3"/>
  <c r="N834" i="3"/>
  <c r="N849" i="3"/>
  <c r="N904" i="3"/>
  <c r="N933" i="3"/>
  <c r="N990" i="3"/>
  <c r="N1060" i="3"/>
  <c r="N1077" i="3"/>
  <c r="N843" i="3"/>
  <c r="N884" i="3"/>
  <c r="N925" i="3"/>
  <c r="N980" i="3"/>
  <c r="N1048" i="3"/>
  <c r="N1070" i="3"/>
  <c r="N872" i="3"/>
  <c r="N919" i="3"/>
  <c r="N974" i="3"/>
  <c r="N1028" i="3"/>
  <c r="N1066" i="3"/>
  <c r="N845" i="3"/>
  <c r="N893" i="3"/>
  <c r="N927" i="3"/>
  <c r="N985" i="3"/>
  <c r="N1053" i="3"/>
  <c r="N1072" i="3"/>
  <c r="N851" i="3"/>
  <c r="N910" i="3"/>
  <c r="N947" i="3"/>
  <c r="N996" i="3"/>
  <c r="N1062" i="3"/>
  <c r="N1079" i="3"/>
  <c r="N839" i="3"/>
  <c r="N880" i="3"/>
  <c r="N923" i="3"/>
  <c r="N977" i="3"/>
  <c r="N1042" i="3"/>
  <c r="N1068" i="3"/>
  <c r="C38" i="2"/>
  <c r="G6" i="5" s="1"/>
  <c r="N1392" i="3"/>
  <c r="N1391" i="3"/>
  <c r="N1390" i="3"/>
  <c r="N1389" i="3"/>
  <c r="N1388" i="3"/>
  <c r="N1387" i="3"/>
  <c r="N1386" i="3"/>
  <c r="N1385" i="3"/>
  <c r="N1383" i="3"/>
  <c r="N1382" i="3"/>
  <c r="N1381" i="3"/>
  <c r="N1380" i="3"/>
  <c r="N1379" i="3"/>
  <c r="N1378" i="3"/>
  <c r="N1377" i="3"/>
  <c r="N1376" i="3"/>
  <c r="N1369" i="3"/>
  <c r="N1367" i="3"/>
  <c r="N1366" i="3"/>
  <c r="N1365" i="3"/>
  <c r="N1364" i="3"/>
  <c r="N1363" i="3"/>
  <c r="N1362" i="3"/>
  <c r="N1361" i="3"/>
  <c r="N1360" i="3"/>
  <c r="N1357" i="3"/>
  <c r="N1356" i="3"/>
  <c r="N1355" i="3"/>
  <c r="N1354" i="3"/>
  <c r="N1353" i="3"/>
  <c r="N1348" i="3"/>
  <c r="N1343" i="3"/>
  <c r="N1342" i="3"/>
  <c r="N1341" i="3"/>
  <c r="N1340" i="3"/>
  <c r="N1339" i="3"/>
  <c r="N1338" i="3"/>
  <c r="N1337" i="3"/>
  <c r="N1336" i="3"/>
  <c r="N1335" i="3"/>
  <c r="N1334" i="3"/>
  <c r="N1333" i="3"/>
  <c r="N1332" i="3"/>
  <c r="N1331" i="3"/>
  <c r="N1330" i="3"/>
  <c r="N1329" i="3"/>
  <c r="N1328" i="3"/>
  <c r="N1327" i="3"/>
  <c r="N1326" i="3"/>
  <c r="N1325" i="3"/>
  <c r="N1322" i="3"/>
  <c r="N1321" i="3"/>
  <c r="N1320" i="3"/>
  <c r="N1319" i="3"/>
  <c r="N1318" i="3"/>
  <c r="N1317" i="3"/>
  <c r="N1316" i="3"/>
  <c r="N1315" i="3"/>
  <c r="N1314" i="3"/>
  <c r="N1313" i="3"/>
  <c r="N1312" i="3"/>
  <c r="N1311" i="3"/>
  <c r="N1310" i="3"/>
  <c r="N1309" i="3"/>
  <c r="N1308" i="3"/>
  <c r="N1307" i="3"/>
  <c r="N1306" i="3"/>
  <c r="N1305" i="3"/>
  <c r="N1304" i="3"/>
  <c r="N1303" i="3"/>
  <c r="N1302" i="3"/>
  <c r="N1301" i="3"/>
  <c r="N1300" i="3"/>
  <c r="N1299" i="3"/>
  <c r="N1298" i="3"/>
  <c r="N1297" i="3"/>
  <c r="N1296" i="3"/>
  <c r="N1294" i="3"/>
  <c r="N1293" i="3"/>
  <c r="N1292" i="3"/>
  <c r="N1285" i="3"/>
  <c r="N1284" i="3"/>
  <c r="N1281" i="3"/>
  <c r="N1280" i="3"/>
  <c r="N1279" i="3"/>
  <c r="N1278" i="3"/>
  <c r="N1277" i="3"/>
  <c r="N1275" i="3"/>
  <c r="N1272" i="3"/>
  <c r="N1270" i="3"/>
  <c r="N1269" i="3"/>
  <c r="N1268" i="3"/>
  <c r="N1267" i="3"/>
  <c r="N1263" i="3"/>
  <c r="N1262" i="3"/>
  <c r="N1261" i="3"/>
  <c r="N1260" i="3"/>
  <c r="N1259" i="3"/>
  <c r="N1258" i="3"/>
  <c r="N1257" i="3"/>
  <c r="N1256" i="3"/>
  <c r="N1255" i="3"/>
  <c r="N1254" i="3"/>
  <c r="N1253" i="3"/>
  <c r="N1249" i="3"/>
  <c r="N1248" i="3"/>
  <c r="N1245" i="3"/>
  <c r="N1244" i="3"/>
  <c r="N1243" i="3"/>
  <c r="N1242" i="3"/>
  <c r="N1241" i="3"/>
  <c r="N1240" i="3"/>
  <c r="N1239" i="3"/>
  <c r="N1238" i="3"/>
  <c r="N1237" i="3"/>
  <c r="N1236" i="3"/>
  <c r="N1233" i="3"/>
  <c r="N1232" i="3"/>
  <c r="N1231" i="3"/>
  <c r="N1228" i="3"/>
  <c r="N1227" i="3"/>
  <c r="N1225" i="3"/>
  <c r="N1224" i="3"/>
  <c r="N1223" i="3"/>
  <c r="N1222" i="3"/>
  <c r="N1221" i="3"/>
  <c r="N1217" i="3"/>
  <c r="N1216" i="3"/>
  <c r="N1215" i="3"/>
  <c r="N1214" i="3"/>
  <c r="N1213" i="3"/>
  <c r="N1206" i="3"/>
  <c r="N1203" i="3"/>
  <c r="N1200" i="3"/>
  <c r="N1199" i="3"/>
  <c r="N1198" i="3"/>
  <c r="N1195" i="3"/>
  <c r="N1194" i="3"/>
  <c r="N1193" i="3"/>
  <c r="N1192" i="3"/>
  <c r="N1191" i="3"/>
  <c r="N1190" i="3"/>
  <c r="N1189" i="3"/>
  <c r="N1188" i="3"/>
  <c r="N1185" i="3"/>
  <c r="N1184" i="3"/>
  <c r="N1183" i="3"/>
  <c r="N1182" i="3"/>
  <c r="N1179" i="3"/>
  <c r="N1178" i="3"/>
  <c r="N1177" i="3"/>
  <c r="N1172" i="3"/>
  <c r="N1171" i="3"/>
  <c r="N1170" i="3"/>
  <c r="N1168" i="3"/>
  <c r="N1167" i="3"/>
  <c r="N1166" i="3"/>
  <c r="N1163" i="3"/>
  <c r="N1162" i="3"/>
  <c r="N1157" i="3"/>
  <c r="N1156" i="3"/>
  <c r="M1153" i="3"/>
  <c r="N1153" i="3" s="1"/>
  <c r="K1160" i="3"/>
  <c r="J1160" i="3"/>
  <c r="N1384" i="3"/>
  <c r="N1370" i="3"/>
  <c r="N1368" i="3"/>
  <c r="N1349" i="3"/>
  <c r="N1346" i="3"/>
  <c r="N1323" i="3"/>
  <c r="N1273" i="3"/>
  <c r="N1271" i="3"/>
  <c r="N1264" i="3"/>
  <c r="N1246" i="3"/>
  <c r="N1220" i="3"/>
  <c r="N1218" i="3"/>
  <c r="N1196" i="3"/>
  <c r="N1175" i="3"/>
  <c r="N1169" i="3"/>
  <c r="N1164" i="3"/>
  <c r="N1158" i="3"/>
  <c r="I1154" i="3"/>
  <c r="N1154" i="3" s="1"/>
  <c r="N1160" i="3" l="1"/>
  <c r="C22" i="2"/>
  <c r="G4" i="5" s="1"/>
  <c r="N426" i="3"/>
  <c r="N424" i="3"/>
  <c r="N404" i="3"/>
  <c r="N396" i="3"/>
  <c r="N392" i="3"/>
  <c r="N388" i="3"/>
  <c r="N387" i="3"/>
  <c r="N375" i="3"/>
  <c r="N372" i="3"/>
  <c r="N369" i="3"/>
  <c r="N365" i="3"/>
  <c r="N359" i="3"/>
  <c r="N353" i="3"/>
  <c r="N343" i="3"/>
  <c r="N338" i="3"/>
  <c r="N334" i="3"/>
  <c r="N333" i="3"/>
  <c r="N329" i="3"/>
  <c r="N328" i="3"/>
  <c r="N327" i="3"/>
  <c r="N326" i="3"/>
  <c r="N325" i="3"/>
  <c r="N324" i="3"/>
  <c r="N320" i="3"/>
  <c r="N319" i="3"/>
  <c r="N316" i="3"/>
  <c r="N315" i="3"/>
  <c r="N311" i="3"/>
  <c r="N310" i="3"/>
  <c r="N309" i="3"/>
  <c r="N308" i="3"/>
  <c r="N307" i="3"/>
  <c r="N296" i="3"/>
  <c r="N293" i="3"/>
  <c r="N261" i="3"/>
  <c r="N239" i="3"/>
  <c r="N233" i="3"/>
  <c r="N229" i="3"/>
  <c r="N223" i="3"/>
  <c r="N204" i="3"/>
  <c r="N200" i="3"/>
  <c r="N199" i="3"/>
  <c r="N192" i="3"/>
  <c r="N176" i="3"/>
  <c r="N175" i="3"/>
  <c r="N171" i="3"/>
  <c r="N157" i="3"/>
  <c r="N114" i="3"/>
  <c r="N113" i="3"/>
  <c r="N112" i="3"/>
  <c r="N111" i="3"/>
  <c r="N110" i="3"/>
  <c r="N107" i="3"/>
  <c r="N78" i="3"/>
  <c r="N22" i="3"/>
  <c r="M2" i="3"/>
  <c r="N2" i="3" s="1"/>
  <c r="K15" i="3"/>
  <c r="J15" i="3"/>
  <c r="I15" i="3"/>
  <c r="N438" i="3"/>
  <c r="N435" i="3"/>
  <c r="N432" i="3"/>
  <c r="N429" i="3"/>
  <c r="N421" i="3"/>
  <c r="N418" i="3"/>
  <c r="N415" i="3"/>
  <c r="N412" i="3"/>
  <c r="N409" i="3"/>
  <c r="N401" i="3"/>
  <c r="N397" i="3"/>
  <c r="N393" i="3"/>
  <c r="N389" i="3"/>
  <c r="N382" i="3"/>
  <c r="N379" i="3"/>
  <c r="N376" i="3"/>
  <c r="N366" i="3"/>
  <c r="N363" i="3"/>
  <c r="N360" i="3"/>
  <c r="N354" i="3"/>
  <c r="N350" i="3"/>
  <c r="N347" i="3"/>
  <c r="N344" i="3"/>
  <c r="N339" i="3"/>
  <c r="N335" i="3"/>
  <c r="N323" i="3"/>
  <c r="N317" i="3"/>
  <c r="N312" i="3"/>
  <c r="N302" i="3"/>
  <c r="N299" i="3"/>
  <c r="N294" i="3"/>
  <c r="N291" i="3"/>
  <c r="N288" i="3"/>
  <c r="N285" i="3"/>
  <c r="N280" i="3"/>
  <c r="N277" i="3"/>
  <c r="N274" i="3"/>
  <c r="N270" i="3"/>
  <c r="N267" i="3"/>
  <c r="N264" i="3"/>
  <c r="N259" i="3"/>
  <c r="N256" i="3"/>
  <c r="N249" i="3"/>
  <c r="N245" i="3"/>
  <c r="N240" i="3"/>
  <c r="N236" i="3"/>
  <c r="N234" i="3"/>
  <c r="N230" i="3"/>
  <c r="N226" i="3"/>
  <c r="N220" i="3"/>
  <c r="N218" i="3"/>
  <c r="N215" i="3"/>
  <c r="N210" i="3"/>
  <c r="N205" i="3"/>
  <c r="N201" i="3"/>
  <c r="N193" i="3"/>
  <c r="N183" i="3"/>
  <c r="N180" i="3"/>
  <c r="N177" i="3"/>
  <c r="N166" i="3"/>
  <c r="N163" i="3"/>
  <c r="N160" i="3"/>
  <c r="N158" i="3"/>
  <c r="N154" i="3"/>
  <c r="N151" i="3"/>
  <c r="N145" i="3"/>
  <c r="N142" i="3"/>
  <c r="N139" i="3"/>
  <c r="N136" i="3"/>
  <c r="N133" i="3"/>
  <c r="N130" i="3"/>
  <c r="N125" i="3"/>
  <c r="N122" i="3"/>
  <c r="N120" i="3"/>
  <c r="N115" i="3"/>
  <c r="N104" i="3"/>
  <c r="N101" i="3"/>
  <c r="N99" i="3"/>
  <c r="N96" i="3"/>
  <c r="N89" i="3"/>
  <c r="N87" i="3"/>
  <c r="N84" i="3"/>
  <c r="N81" i="3"/>
  <c r="N69" i="3"/>
  <c r="N62" i="3"/>
  <c r="N59" i="3"/>
  <c r="N56" i="3"/>
  <c r="N53" i="3"/>
  <c r="N48" i="3"/>
  <c r="N44" i="3"/>
  <c r="N41" i="3"/>
  <c r="N38" i="3"/>
  <c r="N35" i="3"/>
  <c r="N23" i="3"/>
  <c r="N20" i="3"/>
  <c r="N17" i="3"/>
  <c r="N12" i="3"/>
  <c r="N9" i="3"/>
  <c r="N6" i="3"/>
  <c r="I3" i="3"/>
  <c r="N3" i="3" s="1"/>
  <c r="C7" i="2" l="1"/>
  <c r="N46" i="3"/>
  <c r="N92" i="3"/>
  <c r="N172" i="3"/>
  <c r="N213" i="3"/>
  <c r="N283" i="3"/>
  <c r="N370" i="3"/>
  <c r="N51" i="3"/>
  <c r="N94" i="3"/>
  <c r="N174" i="3"/>
  <c r="N224" i="3"/>
  <c r="N297" i="3"/>
  <c r="N373" i="3"/>
  <c r="N67" i="3"/>
  <c r="N118" i="3"/>
  <c r="N188" i="3"/>
  <c r="N247" i="3"/>
  <c r="N321" i="3"/>
  <c r="N399" i="3"/>
  <c r="N76" i="3"/>
  <c r="N149" i="3"/>
  <c r="N197" i="3"/>
  <c r="N262" i="3"/>
  <c r="N341" i="3"/>
  <c r="N425" i="3"/>
  <c r="N72" i="3"/>
  <c r="N128" i="3"/>
  <c r="N190" i="3"/>
  <c r="N252" i="3"/>
  <c r="N330" i="3"/>
  <c r="N405" i="3"/>
  <c r="N15" i="3"/>
  <c r="N79" i="3"/>
  <c r="N169" i="3"/>
  <c r="N208" i="3"/>
  <c r="N272" i="3"/>
  <c r="N357" i="3"/>
  <c r="N427" i="3"/>
  <c r="N65" i="3"/>
  <c r="N108" i="3"/>
  <c r="N186" i="3"/>
  <c r="N243" i="3"/>
  <c r="N305" i="3"/>
  <c r="N385" i="3"/>
  <c r="N74" i="3"/>
  <c r="N147" i="3"/>
  <c r="N195" i="3"/>
  <c r="N254" i="3"/>
  <c r="N332" i="3"/>
  <c r="N407" i="3"/>
  <c r="G8" i="5"/>
  <c r="G9" i="5" l="1"/>
  <c r="G2" i="5"/>
  <c r="G13" i="5"/>
  <c r="G14" i="5" l="1"/>
  <c r="G10" i="5" l="1"/>
  <c r="G15" i="5" l="1"/>
  <c r="B7" i="8" l="1"/>
  <c r="B5" i="8" s="1"/>
</calcChain>
</file>

<file path=xl/sharedStrings.xml><?xml version="1.0" encoding="utf-8"?>
<sst xmlns="http://schemas.openxmlformats.org/spreadsheetml/2006/main" count="21681" uniqueCount="597">
  <si>
    <t>1、判断每日各地址所有物资重量计费区间*区间价格，求和得出配送总成本；
2、此份要用excel2016以上版本打开，其他版本有可能报错；</t>
    <phoneticPr fontId="1" type="noConversion"/>
  </si>
  <si>
    <t>配送总成本计算逻辑</t>
    <phoneticPr fontId="1" type="noConversion"/>
  </si>
  <si>
    <t>备注</t>
    <phoneticPr fontId="1" type="noConversion"/>
  </si>
  <si>
    <t>300&lt;R≤400</t>
    <phoneticPr fontId="1" type="noConversion"/>
  </si>
  <si>
    <t>0&lt;R≤100</t>
    <phoneticPr fontId="1" type="noConversion"/>
  </si>
  <si>
    <t>9.6米</t>
    <phoneticPr fontId="1" type="noConversion"/>
  </si>
  <si>
    <t>6.8米</t>
    <phoneticPr fontId="1" type="noConversion"/>
  </si>
  <si>
    <t>4.2米</t>
    <phoneticPr fontId="1" type="noConversion"/>
  </si>
  <si>
    <t>配送半径（单位：公里）</t>
    <phoneticPr fontId="1" type="noConversion"/>
  </si>
  <si>
    <t>序号</t>
  </si>
  <si>
    <t>整车:元/车次</t>
    <phoneticPr fontId="1" type="noConversion"/>
  </si>
  <si>
    <t>200&lt;R≤300</t>
    <phoneticPr fontId="1" type="noConversion"/>
  </si>
  <si>
    <t>100&lt;R≤200</t>
    <phoneticPr fontId="1" type="noConversion"/>
  </si>
  <si>
    <t>0&lt;R≤100</t>
    <phoneticPr fontId="1" type="noConversion"/>
  </si>
  <si>
    <t>13.5米</t>
    <phoneticPr fontId="1" type="noConversion"/>
  </si>
  <si>
    <t>9.6米</t>
    <phoneticPr fontId="1" type="noConversion"/>
  </si>
  <si>
    <t>6.8米</t>
    <phoneticPr fontId="1" type="noConversion"/>
  </si>
  <si>
    <t>4.2米</t>
    <phoneticPr fontId="1" type="noConversion"/>
  </si>
  <si>
    <t>配送半径（单位：公里）</t>
    <phoneticPr fontId="1" type="noConversion"/>
  </si>
  <si>
    <t>整车:元/车次</t>
    <phoneticPr fontId="1" type="noConversion"/>
  </si>
  <si>
    <t>零担:元/KG</t>
    <phoneticPr fontId="1" type="noConversion"/>
  </si>
  <si>
    <t>100&lt;R≤200</t>
    <phoneticPr fontId="1" type="noConversion"/>
  </si>
  <si>
    <t>0&lt;R≤100</t>
    <phoneticPr fontId="1" type="noConversion"/>
  </si>
  <si>
    <t>9.6米</t>
    <phoneticPr fontId="1" type="noConversion"/>
  </si>
  <si>
    <t>零担:元/KG</t>
    <phoneticPr fontId="1" type="noConversion"/>
  </si>
  <si>
    <t>400&lt;R≤500</t>
  </si>
  <si>
    <t>200&lt;R≤300</t>
    <phoneticPr fontId="1" type="noConversion"/>
  </si>
  <si>
    <t>0&lt;R≤100</t>
    <phoneticPr fontId="1" type="noConversion"/>
  </si>
  <si>
    <t>13.5米</t>
    <phoneticPr fontId="1" type="noConversion"/>
  </si>
  <si>
    <t>9.6米</t>
    <phoneticPr fontId="1" type="noConversion"/>
  </si>
  <si>
    <t>4.2米</t>
    <phoneticPr fontId="1" type="noConversion"/>
  </si>
  <si>
    <t>100&lt;R≤200</t>
    <phoneticPr fontId="1" type="noConversion"/>
  </si>
  <si>
    <t>0&lt;R≤100</t>
    <phoneticPr fontId="1" type="noConversion"/>
  </si>
  <si>
    <t>6.8米</t>
    <phoneticPr fontId="1" type="noConversion"/>
  </si>
  <si>
    <t>零担:元/KG</t>
    <phoneticPr fontId="1" type="noConversion"/>
  </si>
  <si>
    <t>300&lt;R≤400</t>
    <phoneticPr fontId="1" type="noConversion"/>
  </si>
  <si>
    <t>13.5米</t>
    <phoneticPr fontId="1" type="noConversion"/>
  </si>
  <si>
    <t>400&lt;R≤500</t>
    <phoneticPr fontId="1" type="noConversion"/>
  </si>
  <si>
    <t>300&lt;R≤400</t>
    <phoneticPr fontId="1" type="noConversion"/>
  </si>
  <si>
    <t>200&lt;R≤300</t>
    <phoneticPr fontId="1" type="noConversion"/>
  </si>
  <si>
    <t>4.2米</t>
    <phoneticPr fontId="1" type="noConversion"/>
  </si>
  <si>
    <t>配送半径（单位：公里）</t>
    <phoneticPr fontId="1" type="noConversion"/>
  </si>
  <si>
    <t>整车:元/车次</t>
    <phoneticPr fontId="1" type="noConversion"/>
  </si>
  <si>
    <t>300&lt;R≤400</t>
    <phoneticPr fontId="1" type="noConversion"/>
  </si>
  <si>
    <t>0&lt;R≤100</t>
    <phoneticPr fontId="1" type="noConversion"/>
  </si>
  <si>
    <t>6.8米</t>
    <phoneticPr fontId="1" type="noConversion"/>
  </si>
  <si>
    <t>配送半径（单位：公里）</t>
    <phoneticPr fontId="1" type="noConversion"/>
  </si>
  <si>
    <t>整车:元/车次</t>
    <phoneticPr fontId="1" type="noConversion"/>
  </si>
  <si>
    <t>300&lt;R≤400</t>
    <phoneticPr fontId="1" type="noConversion"/>
  </si>
  <si>
    <t>9.6米</t>
    <phoneticPr fontId="1" type="noConversion"/>
  </si>
  <si>
    <t>6.8米</t>
    <phoneticPr fontId="1" type="noConversion"/>
  </si>
  <si>
    <t>200&lt;R≤300</t>
    <phoneticPr fontId="1" type="noConversion"/>
  </si>
  <si>
    <t>6.8米</t>
    <phoneticPr fontId="1" type="noConversion"/>
  </si>
  <si>
    <t>配送半径（单位：公里）</t>
    <phoneticPr fontId="1" type="noConversion"/>
  </si>
  <si>
    <t>整车:元/车次</t>
    <phoneticPr fontId="1" type="noConversion"/>
  </si>
  <si>
    <t>200&lt;R≤300</t>
    <phoneticPr fontId="1" type="noConversion"/>
  </si>
  <si>
    <t>13.5米</t>
    <phoneticPr fontId="1" type="noConversion"/>
  </si>
  <si>
    <t>6.8米</t>
    <phoneticPr fontId="1" type="noConversion"/>
  </si>
  <si>
    <t>整车:元/车次</t>
    <phoneticPr fontId="1" type="noConversion"/>
  </si>
  <si>
    <t>零担:元/KG</t>
    <phoneticPr fontId="1" type="noConversion"/>
  </si>
  <si>
    <t>9.6米</t>
    <phoneticPr fontId="1" type="noConversion"/>
  </si>
  <si>
    <t>整车:元/车次</t>
    <phoneticPr fontId="1" type="noConversion"/>
  </si>
  <si>
    <t>信丰RDC</t>
    <phoneticPr fontId="1" type="noConversion"/>
  </si>
  <si>
    <t>13.5米</t>
    <phoneticPr fontId="1" type="noConversion"/>
  </si>
  <si>
    <r>
      <t>X</t>
    </r>
    <r>
      <rPr>
        <sz val="11"/>
        <color theme="1"/>
        <rFont val="宋体"/>
        <family val="3"/>
        <charset val="134"/>
      </rPr>
      <t>≤</t>
    </r>
    <r>
      <rPr>
        <sz val="11"/>
        <color theme="1"/>
        <rFont val="等线"/>
        <family val="3"/>
        <charset val="134"/>
        <scheme val="minor"/>
      </rPr>
      <t>20KG</t>
    </r>
    <phoneticPr fontId="1" type="noConversion"/>
  </si>
  <si>
    <t>零担:元/KG</t>
    <phoneticPr fontId="1" type="noConversion"/>
  </si>
  <si>
    <t>其他</t>
  </si>
  <si>
    <t>钢制管材</t>
  </si>
  <si>
    <t>PE管材</t>
  </si>
  <si>
    <t>RDC</t>
    <phoneticPr fontId="1" type="noConversion"/>
  </si>
  <si>
    <t>合计</t>
    <phoneticPr fontId="1" type="noConversion"/>
  </si>
  <si>
    <t>零担(1.5吨以下)</t>
    <phoneticPr fontId="1" type="noConversion"/>
  </si>
  <si>
    <t>零担(1.5吨以上)</t>
    <phoneticPr fontId="1" type="noConversion"/>
  </si>
  <si>
    <t>距RDC路程</t>
  </si>
  <si>
    <t>物资类型</t>
  </si>
  <si>
    <t>出库日期</t>
  </si>
  <si>
    <t>里程区间</t>
    <phoneticPr fontId="1" type="noConversion"/>
  </si>
  <si>
    <t>信丰</t>
  </si>
  <si>
    <t>淮南</t>
  </si>
  <si>
    <t>牡丹江</t>
  </si>
  <si>
    <t>黑河</t>
  </si>
  <si>
    <t>佳木斯</t>
  </si>
  <si>
    <t>哈尔滨</t>
  </si>
  <si>
    <t>庄河</t>
  </si>
  <si>
    <t>RDC运输距离</t>
  </si>
  <si>
    <t>区域</t>
  </si>
  <si>
    <t>沈阳RDC</t>
    <phoneticPr fontId="1" type="noConversion"/>
  </si>
  <si>
    <t>庄河RDC</t>
    <phoneticPr fontId="1" type="noConversion"/>
  </si>
  <si>
    <t>哈尔滨RDC</t>
    <phoneticPr fontId="1" type="noConversion"/>
  </si>
  <si>
    <t>黑河RDC</t>
    <phoneticPr fontId="1" type="noConversion"/>
  </si>
  <si>
    <t>佳木斯RDC</t>
    <phoneticPr fontId="1" type="noConversion"/>
  </si>
  <si>
    <t>牡丹江RDC</t>
    <phoneticPr fontId="1" type="noConversion"/>
  </si>
  <si>
    <t>南京RDC</t>
    <phoneticPr fontId="1" type="noConversion"/>
  </si>
  <si>
    <t>芜湖RDC</t>
    <phoneticPr fontId="1" type="noConversion"/>
  </si>
  <si>
    <t>徐州RDC</t>
    <phoneticPr fontId="1" type="noConversion"/>
  </si>
  <si>
    <t>淮南RDC</t>
    <phoneticPr fontId="1" type="noConversion"/>
  </si>
  <si>
    <t>济南RDC</t>
    <phoneticPr fontId="1" type="noConversion"/>
  </si>
  <si>
    <t>威海RDC</t>
    <phoneticPr fontId="1" type="noConversion"/>
  </si>
  <si>
    <t>配送区域</t>
    <phoneticPr fontId="1" type="noConversion"/>
  </si>
  <si>
    <t>沈阳</t>
  </si>
  <si>
    <t>丹东</t>
  </si>
  <si>
    <t>抚顺</t>
  </si>
  <si>
    <t>辽阳</t>
  </si>
  <si>
    <t>南京</t>
  </si>
  <si>
    <t>扬中</t>
  </si>
  <si>
    <t>芜湖</t>
  </si>
  <si>
    <t>南陵</t>
  </si>
  <si>
    <t>祁门</t>
  </si>
  <si>
    <t>湾沚区</t>
  </si>
  <si>
    <t>无为</t>
  </si>
  <si>
    <t>休宁</t>
  </si>
  <si>
    <t>济南</t>
  </si>
  <si>
    <t>单县</t>
  </si>
  <si>
    <t>东明</t>
  </si>
  <si>
    <t>菏泽</t>
  </si>
  <si>
    <t>济南章丘</t>
  </si>
  <si>
    <t>嘉祥</t>
  </si>
  <si>
    <t>乐陵</t>
  </si>
  <si>
    <t>聊城</t>
  </si>
  <si>
    <t>宁阳</t>
  </si>
  <si>
    <t>曲阜</t>
  </si>
  <si>
    <t>莘县</t>
  </si>
  <si>
    <t>泗水</t>
  </si>
  <si>
    <t>潍坊</t>
  </si>
  <si>
    <t>郓城</t>
  </si>
  <si>
    <t>威海</t>
  </si>
  <si>
    <t>海阳</t>
  </si>
  <si>
    <t>莱阳</t>
  </si>
  <si>
    <t>荣成</t>
  </si>
  <si>
    <t>乳山</t>
  </si>
  <si>
    <t>辽宁省丹东市振兴区瓦房街1024号</t>
  </si>
  <si>
    <t>安徽省芜湖市湾沚区工业园六郎路湾沚中燃</t>
  </si>
  <si>
    <t>安徽省芜湖市无为市十里工业园飞翔秸秆综合利用有限公司</t>
  </si>
  <si>
    <t>安徽省六安市霍山县经济开发区经五路以西（中燃门站）</t>
  </si>
  <si>
    <t>江苏镇江市扬中市新坝镇翠竹南路398号加气站院内</t>
  </si>
  <si>
    <t>江苏省泰兴市黄桥工业园区致富南路西侧新334省道北侧交界处</t>
  </si>
  <si>
    <t>山东省乐陵市杨安镇飞达路中国燃气门站</t>
  </si>
  <si>
    <t>安徽省宿州市泗县经济开发区朱山南路中燃加气站</t>
  </si>
  <si>
    <t>安徽省宿州市宿固路加气站</t>
  </si>
  <si>
    <t>安徽省淮南市凤台县城关镇河东经济开发区凤台城市燃气发展有限公司</t>
  </si>
  <si>
    <t>安徽省淮南市寿县八公山乡卫生院对面陆运停车场</t>
  </si>
  <si>
    <t>安达</t>
  </si>
  <si>
    <t>宾县</t>
  </si>
  <si>
    <t>大连</t>
  </si>
  <si>
    <t>富裕</t>
  </si>
  <si>
    <t>木兰</t>
  </si>
  <si>
    <t>五常</t>
  </si>
  <si>
    <t>庆安</t>
  </si>
  <si>
    <t>泰来</t>
  </si>
  <si>
    <t>肇源</t>
  </si>
  <si>
    <t>大兴安岭</t>
  </si>
  <si>
    <t>逊克</t>
  </si>
  <si>
    <t>孙吴</t>
  </si>
  <si>
    <t>五大连池</t>
  </si>
  <si>
    <t>凤台</t>
  </si>
  <si>
    <t>霍山</t>
  </si>
  <si>
    <t>寿县</t>
  </si>
  <si>
    <t>宝泉岭</t>
  </si>
  <si>
    <t>桦川</t>
  </si>
  <si>
    <t>桦南</t>
  </si>
  <si>
    <t>萝北</t>
  </si>
  <si>
    <t>饶河</t>
  </si>
  <si>
    <t>汤原</t>
  </si>
  <si>
    <t>双鸭山</t>
  </si>
  <si>
    <t>绥滨</t>
  </si>
  <si>
    <t>同江</t>
  </si>
  <si>
    <t>建三江</t>
  </si>
  <si>
    <t>勃利</t>
  </si>
  <si>
    <t>鸡西</t>
  </si>
  <si>
    <t>七台河</t>
  </si>
  <si>
    <t>南昌</t>
  </si>
  <si>
    <t>宜黄</t>
  </si>
  <si>
    <t>泗县</t>
  </si>
  <si>
    <t>宿州</t>
  </si>
  <si>
    <t>新沂</t>
  </si>
  <si>
    <t>徐州贾汪</t>
  </si>
  <si>
    <t>盖州</t>
  </si>
  <si>
    <t>丹东宽甸</t>
  </si>
  <si>
    <t>长海</t>
  </si>
  <si>
    <t>清原</t>
  </si>
  <si>
    <t>泰兴</t>
  </si>
  <si>
    <t>辽宁省大连市金州区三十里堡宫家村</t>
  </si>
  <si>
    <t>黑龙江省哈尔滨市宾县建材一条街19号</t>
  </si>
  <si>
    <t>黑龙江省五常市孔家屯民意乡环路众品包装院内（南数）2号门</t>
  </si>
  <si>
    <t>黑龙江省哈尔滨市木兰镇团结村327栋1号</t>
  </si>
  <si>
    <t>黑龙江省绥化市庆安县钢铁厂院内</t>
  </si>
  <si>
    <t>黑龙江省绥化市安达市经济开发区博达加气站</t>
  </si>
  <si>
    <t>黑龙江省大庆市肇源县科尔沁路中燃加气站场站</t>
  </si>
  <si>
    <t>黑龙江省齐齐哈尔市富裕县友谊达斡尔族满族柯尔克孜族乡明星街龙光燃气站</t>
  </si>
  <si>
    <t>黑龙江省齐齐哈尔市九洲粮贸南79米泰来县工业园区LNG气化站院内</t>
  </si>
  <si>
    <t>黑龙江省佳木斯市汤原县造纸路中段燃气储备站</t>
  </si>
  <si>
    <t>黑龙江省佳木斯市桦川县悦来大街双桦路燃气加气站</t>
  </si>
  <si>
    <t>黑龙江省鹤岗市宝泉岭290大街东段加气站</t>
  </si>
  <si>
    <t>黑龙江省双鸭山市尖山区东平行路四马路</t>
  </si>
  <si>
    <t>黑龙江省鹤岗市绥滨县振荣大街东3.5公里处</t>
  </si>
  <si>
    <t>黑龙江省佳木斯市富锦市建三江宏运货站5号库</t>
  </si>
  <si>
    <t>黑龙江省同江市锦江街与平安大道交叉口东南角</t>
  </si>
  <si>
    <t>黑龙江省双鸭山市饶河县锦阳北路天燃气加气站</t>
  </si>
  <si>
    <t>黑龙江省黑河市孙吴县东三路孙吴县第一小学东北侧</t>
  </si>
  <si>
    <t>黑龙江省黑河市逊克县中国燃气后院</t>
  </si>
  <si>
    <t>黑龙江省五大连池市新发工业园区中国燃气场站</t>
  </si>
  <si>
    <t>黑龙江省大兴安岭地区加格达奇区长虹社区春城路中国燃气院内</t>
  </si>
  <si>
    <t>黑龙江省鸡西市鸡冠区兴国东路兴北街2号</t>
  </si>
  <si>
    <t>江西省宜黄六里铺十里排坡顶宜黄天然气站</t>
  </si>
  <si>
    <t>江西省南昌市招贤路蔬菜村</t>
  </si>
  <si>
    <t>安徽省南陵县籍山镇318国道与255国道立交桥交界处南陵中燃</t>
  </si>
  <si>
    <t>安徽省黄山市祁门县华扬工业园区8号东侧</t>
  </si>
  <si>
    <t>辽宁省辽阳市太子河区荣兴路干渠街恒泰利加气母站对面</t>
  </si>
  <si>
    <t>辽宁省抚顺市新抚区凤翔路39号 抚顺中燃</t>
  </si>
  <si>
    <t>辽宁省丹东市宽甸满族自治县城南工业园区中国燃气</t>
  </si>
  <si>
    <t>山东省菏泽市单县高韦庄镇高韦庄</t>
  </si>
  <si>
    <t>山东省菏泽市东明县东明集镇北街 东兰线 中国燃气</t>
  </si>
  <si>
    <t>山东省济南市章丘区明水街道桑园路锦润汽修隔壁中国燃气</t>
  </si>
  <si>
    <t>山东省济南市济宁市嘉祥县大张楼镇鲁祥农资西150米</t>
  </si>
  <si>
    <t>山东省聊城市茌平区博平镇博佳机械向西200米中国燃气博平门站</t>
  </si>
  <si>
    <t>山东省泰安市华丰镇华崔路小河西村东20米宁阳中燃城市燃气有限公司</t>
  </si>
  <si>
    <t>山东省济宁市曲阜市沃德虎标工业园中国燃气</t>
  </si>
  <si>
    <t>山东省聊城市莘县妹冢镇毛冯路荣盛社区南门对面鑫城椰棕院内</t>
  </si>
  <si>
    <t>山东省济宁泗水县永胜路与中兴路交叉口东260米程鹏钢材经销处</t>
  </si>
  <si>
    <t>山东省潍坊市寒亭区大家洼街道创新街与中兴路路口潍坊中凯清洁能源技术有限公司</t>
  </si>
  <si>
    <t>山东省菏泽市郓城县水浒东路金河热电厂南门斜对过喆啡酒店三楼中国燃气</t>
  </si>
  <si>
    <t>山东省海阳市海翔中路增旺建材</t>
  </si>
  <si>
    <t>山东省烟台市莱阳市音乐美食文化广场</t>
  </si>
  <si>
    <t>山东省威海市荣成市石岛管理区斥山西路372号。</t>
  </si>
  <si>
    <t>山东省威海市乳山市广州路西首（中国燃气）</t>
  </si>
  <si>
    <t>山东省威海市环翠区张村镇蓬莱路270号祥同彩印北，张村气站院内</t>
  </si>
  <si>
    <t>黑龙江省鹤岗市萝北县污水处理厂西黎明湖公园对面中国燃气场站</t>
  </si>
  <si>
    <t>黑龙江省七台河市新兴区马场10路公交总站隔壁中国燃气储备站</t>
  </si>
  <si>
    <t>江苏省新沂市北京路与新东路交叉口</t>
  </si>
  <si>
    <t>辽宁省盖州市清河大街清河家园临河门市中国燃气营业大厅</t>
  </si>
  <si>
    <t>辽宁省大连市长海县大长山岛镇小盐场村东炉屯长海中燃</t>
  </si>
  <si>
    <t>辽宁省抚顺市清原满族自治县莱河路78-2号（古城加气站）</t>
  </si>
  <si>
    <t>安徽省霍邱县霍寿路与玉泉路交口向南150米</t>
  </si>
  <si>
    <t>黑龙江省七台河市勃利县太平社区</t>
  </si>
  <si>
    <t>方正</t>
  </si>
  <si>
    <t>霍邱</t>
  </si>
  <si>
    <t xml:space="preserve">黑龙江省哈尔滨市方正县龙寓高墅一号楼南数2门  </t>
  </si>
  <si>
    <t>山东省菏泽市牡丹区李村镇李村集牌坊南200米集贸市场</t>
  </si>
  <si>
    <t>黑龙江省佳木斯市桦南县南环路天然气加气站</t>
  </si>
  <si>
    <t>安徽省黄山市休宁县滨江东路休宁中燃</t>
  </si>
  <si>
    <t>江苏省徐州市贾汪区滨河路4号贾汪中燃</t>
  </si>
  <si>
    <t>徐州</t>
  </si>
  <si>
    <t>东北区域</t>
  </si>
  <si>
    <t>华东区域</t>
  </si>
  <si>
    <t>华南区域</t>
  </si>
  <si>
    <t>中原区域</t>
  </si>
  <si>
    <t>6月9日</t>
  </si>
  <si>
    <t>7月10日</t>
  </si>
  <si>
    <t>7月22日</t>
  </si>
  <si>
    <t>8月13日</t>
  </si>
  <si>
    <t>8月20日</t>
  </si>
  <si>
    <t>9月9日</t>
  </si>
  <si>
    <t>9月17日</t>
  </si>
  <si>
    <t>9月19日</t>
  </si>
  <si>
    <t>9月25日</t>
  </si>
  <si>
    <t>9月30日</t>
  </si>
  <si>
    <t>4月2日</t>
  </si>
  <si>
    <t>4月18日</t>
  </si>
  <si>
    <t>4月27日</t>
  </si>
  <si>
    <t>5月13日</t>
  </si>
  <si>
    <t>4月1日</t>
  </si>
  <si>
    <t>4月3日</t>
  </si>
  <si>
    <t>4月8日</t>
  </si>
  <si>
    <t>4月9日</t>
  </si>
  <si>
    <t>4月11日</t>
  </si>
  <si>
    <t>4月16日</t>
  </si>
  <si>
    <t>4月22日</t>
  </si>
  <si>
    <t>4月25日</t>
  </si>
  <si>
    <t>4月28日</t>
  </si>
  <si>
    <t>5月7日</t>
  </si>
  <si>
    <t>5月8日</t>
  </si>
  <si>
    <t>5月9日</t>
  </si>
  <si>
    <t>5月12日</t>
  </si>
  <si>
    <t>5月15日</t>
  </si>
  <si>
    <t>5月19日</t>
  </si>
  <si>
    <t>5月21日</t>
  </si>
  <si>
    <t>5月23日</t>
  </si>
  <si>
    <t>5月28日</t>
  </si>
  <si>
    <t>6月3日</t>
  </si>
  <si>
    <t>6月5日</t>
  </si>
  <si>
    <t>6月11日</t>
  </si>
  <si>
    <t>6月13日</t>
  </si>
  <si>
    <t>6月17日</t>
  </si>
  <si>
    <t>6月19日</t>
  </si>
  <si>
    <t>6月24日</t>
  </si>
  <si>
    <t>6月25日</t>
  </si>
  <si>
    <t>7月3日</t>
  </si>
  <si>
    <t>7月4日</t>
  </si>
  <si>
    <t>7月8日</t>
  </si>
  <si>
    <t>7月11日</t>
  </si>
  <si>
    <t>7月17日</t>
  </si>
  <si>
    <t>7月23日</t>
  </si>
  <si>
    <t>7月25日</t>
  </si>
  <si>
    <t>7月29日</t>
  </si>
  <si>
    <t>7月31日</t>
  </si>
  <si>
    <t>8月6日</t>
  </si>
  <si>
    <t>8月8日</t>
  </si>
  <si>
    <t>8月15日</t>
  </si>
  <si>
    <t>8月19日</t>
  </si>
  <si>
    <t>8月25日</t>
  </si>
  <si>
    <t>9月5日</t>
  </si>
  <si>
    <t>9月8日</t>
  </si>
  <si>
    <t>9月14日</t>
  </si>
  <si>
    <t>9月15日</t>
  </si>
  <si>
    <t>9月18日</t>
  </si>
  <si>
    <t>9月26日</t>
  </si>
  <si>
    <t>4月7日</t>
  </si>
  <si>
    <t>4月10日</t>
  </si>
  <si>
    <t>4月14日</t>
  </si>
  <si>
    <t>4月23日</t>
  </si>
  <si>
    <t>5月26日</t>
  </si>
  <si>
    <t>6月4日</t>
  </si>
  <si>
    <t>6月12日</t>
  </si>
  <si>
    <t>6月23日</t>
  </si>
  <si>
    <t>7月15日</t>
  </si>
  <si>
    <t>7月16日</t>
  </si>
  <si>
    <t>7月21日</t>
  </si>
  <si>
    <t>8月7日</t>
  </si>
  <si>
    <t>8月21日</t>
  </si>
  <si>
    <t>8月28日</t>
  </si>
  <si>
    <t>9月4日</t>
  </si>
  <si>
    <t>9月11日</t>
  </si>
  <si>
    <t>5月14日</t>
  </si>
  <si>
    <t>6月20日</t>
  </si>
  <si>
    <t>7月7日</t>
  </si>
  <si>
    <t>8月14日</t>
  </si>
  <si>
    <t>8月18日</t>
  </si>
  <si>
    <t>8月26日</t>
  </si>
  <si>
    <t>9月24日</t>
  </si>
  <si>
    <t>6月26日</t>
  </si>
  <si>
    <t>9月12日</t>
  </si>
  <si>
    <t>9月23日</t>
  </si>
  <si>
    <t>9月28日</t>
  </si>
  <si>
    <t>4月17日</t>
  </si>
  <si>
    <t>4月24日</t>
  </si>
  <si>
    <t>4月29日</t>
  </si>
  <si>
    <t>5月16日</t>
  </si>
  <si>
    <t>5月27日</t>
  </si>
  <si>
    <t>6月16日</t>
  </si>
  <si>
    <t>6月18日</t>
  </si>
  <si>
    <t>7月18日</t>
  </si>
  <si>
    <t>7月24日</t>
  </si>
  <si>
    <t>7月30日</t>
  </si>
  <si>
    <t>8月27日</t>
  </si>
  <si>
    <t>4月15日</t>
  </si>
  <si>
    <t>5月3日</t>
  </si>
  <si>
    <t>5月22日</t>
  </si>
  <si>
    <t>6月6日</t>
  </si>
  <si>
    <t>7月2日</t>
  </si>
  <si>
    <t>7月14日</t>
  </si>
  <si>
    <t>8月22日</t>
  </si>
  <si>
    <t>5月20日</t>
  </si>
  <si>
    <t>6月10日</t>
  </si>
  <si>
    <t>8月12日</t>
  </si>
  <si>
    <t>4月30日</t>
  </si>
  <si>
    <t>9月10日</t>
  </si>
  <si>
    <t>9月22日</t>
  </si>
  <si>
    <t>9月3日</t>
  </si>
  <si>
    <t>8月4日</t>
  </si>
  <si>
    <t>7月28日</t>
  </si>
  <si>
    <t>9月2日</t>
  </si>
  <si>
    <t>5月29日</t>
  </si>
  <si>
    <t>5月6日</t>
  </si>
  <si>
    <t>7月6日</t>
  </si>
  <si>
    <t>8月1日</t>
  </si>
  <si>
    <t>9月16日</t>
  </si>
  <si>
    <t>8月11日</t>
  </si>
  <si>
    <t>9月29日</t>
  </si>
  <si>
    <t>5月24日</t>
  </si>
  <si>
    <t>4月21日</t>
  </si>
  <si>
    <t>8月5日</t>
  </si>
  <si>
    <t>6月8日</t>
  </si>
  <si>
    <t>7月9日</t>
  </si>
  <si>
    <t>8月16日</t>
  </si>
  <si>
    <t>8月29日</t>
  </si>
  <si>
    <t>6月27日</t>
  </si>
  <si>
    <t>9月20日</t>
  </si>
  <si>
    <t>9月6日</t>
  </si>
  <si>
    <t>7月1日</t>
  </si>
  <si>
    <t>6月21日</t>
  </si>
  <si>
    <t>8月9日</t>
  </si>
  <si>
    <t>5月30日</t>
  </si>
  <si>
    <t>9月13日</t>
  </si>
  <si>
    <t>6月15日</t>
  </si>
  <si>
    <t>6月22日</t>
  </si>
  <si>
    <t>6月28日</t>
  </si>
  <si>
    <t>9月21日</t>
  </si>
  <si>
    <t>6月14日</t>
  </si>
  <si>
    <t>6月30日</t>
  </si>
  <si>
    <t>4月19日</t>
  </si>
  <si>
    <t>9月27日</t>
  </si>
  <si>
    <t>4月4日</t>
  </si>
  <si>
    <t>9月1日</t>
  </si>
  <si>
    <t>0&lt;R≤100</t>
  </si>
  <si>
    <t>0&lt;R≤100</t>
    <phoneticPr fontId="1" type="noConversion"/>
  </si>
  <si>
    <r>
      <t>20&lt;X</t>
    </r>
    <r>
      <rPr>
        <sz val="11"/>
        <color theme="1"/>
        <rFont val="宋体"/>
        <family val="3"/>
        <charset val="134"/>
      </rPr>
      <t>≤</t>
    </r>
    <r>
      <rPr>
        <sz val="11"/>
        <color theme="1"/>
        <rFont val="等线"/>
        <family val="3"/>
        <charset val="134"/>
        <scheme val="minor"/>
      </rPr>
      <t>500</t>
    </r>
    <phoneticPr fontId="1" type="noConversion"/>
  </si>
  <si>
    <r>
      <t>500&lt;X≤</t>
    </r>
    <r>
      <rPr>
        <sz val="11"/>
        <color theme="1"/>
        <rFont val="宋体"/>
        <family val="3"/>
        <charset val="134"/>
      </rPr>
      <t>15</t>
    </r>
    <r>
      <rPr>
        <sz val="11"/>
        <color theme="1"/>
        <rFont val="等线"/>
        <family val="3"/>
        <charset val="134"/>
        <scheme val="minor"/>
      </rPr>
      <t>00</t>
    </r>
    <phoneticPr fontId="1" type="noConversion"/>
  </si>
  <si>
    <t>沈阳配送总费用（元）</t>
    <phoneticPr fontId="1" type="noConversion"/>
  </si>
  <si>
    <t>庄河配送总费用（元）</t>
    <phoneticPr fontId="1" type="noConversion"/>
  </si>
  <si>
    <t>哈尔滨配送总成本</t>
    <phoneticPr fontId="1" type="noConversion"/>
  </si>
  <si>
    <t>黑河配送总费用（元）</t>
    <phoneticPr fontId="1" type="noConversion"/>
  </si>
  <si>
    <t>佳木斯配送总费用（元）</t>
    <phoneticPr fontId="1" type="noConversion"/>
  </si>
  <si>
    <t>牡丹江配送总费用（元）</t>
    <phoneticPr fontId="1" type="noConversion"/>
  </si>
  <si>
    <t>南京配送总费用（元）</t>
    <phoneticPr fontId="1" type="noConversion"/>
  </si>
  <si>
    <t>芜湖配送总费用（元）</t>
    <phoneticPr fontId="1" type="noConversion"/>
  </si>
  <si>
    <t>徐州配送总费用（元）</t>
    <phoneticPr fontId="1" type="noConversion"/>
  </si>
  <si>
    <t>淮南配送总费用（元）</t>
    <phoneticPr fontId="1" type="noConversion"/>
  </si>
  <si>
    <t>信丰配送总费用（元）</t>
    <phoneticPr fontId="1" type="noConversion"/>
  </si>
  <si>
    <t>济南配送总费用（元）</t>
    <phoneticPr fontId="1" type="noConversion"/>
  </si>
  <si>
    <t>威海配送总费用（元）</t>
    <phoneticPr fontId="1" type="noConversion"/>
  </si>
  <si>
    <t>300&lt;R≤400</t>
  </si>
  <si>
    <t>300&lt;R≤400</t>
    <phoneticPr fontId="1" type="noConversion"/>
  </si>
  <si>
    <t>500&lt;R≤600</t>
    <phoneticPr fontId="1" type="noConversion"/>
  </si>
  <si>
    <t>100&lt;R≤200</t>
  </si>
  <si>
    <t>200&lt;R≤300</t>
  </si>
  <si>
    <t>毛重(KG)</t>
    <phoneticPr fontId="1" type="noConversion"/>
  </si>
  <si>
    <t>毛重汇总(吨/天)</t>
    <phoneticPr fontId="1" type="noConversion"/>
  </si>
  <si>
    <t>X&lt;20KG</t>
    <phoneticPr fontId="1" type="noConversion"/>
  </si>
  <si>
    <r>
      <t>20≤X</t>
    </r>
    <r>
      <rPr>
        <sz val="11"/>
        <color theme="1"/>
        <rFont val="等线"/>
        <family val="3"/>
        <charset val="134"/>
      </rPr>
      <t>&lt;</t>
    </r>
    <r>
      <rPr>
        <sz val="11"/>
        <color theme="1"/>
        <rFont val="等线"/>
        <family val="3"/>
        <charset val="134"/>
        <scheme val="minor"/>
      </rPr>
      <t>500</t>
    </r>
    <phoneticPr fontId="1" type="noConversion"/>
  </si>
  <si>
    <r>
      <t>500≤X&lt;</t>
    </r>
    <r>
      <rPr>
        <sz val="11"/>
        <color theme="1"/>
        <rFont val="宋体"/>
        <family val="3"/>
        <charset val="134"/>
      </rPr>
      <t>15</t>
    </r>
    <r>
      <rPr>
        <sz val="11"/>
        <color theme="1"/>
        <rFont val="等线"/>
        <family val="3"/>
        <charset val="134"/>
        <scheme val="minor"/>
      </rPr>
      <t>00</t>
    </r>
    <phoneticPr fontId="1" type="noConversion"/>
  </si>
  <si>
    <t>仓</t>
  </si>
  <si>
    <t>标段</t>
  </si>
  <si>
    <t>备注</t>
  </si>
  <si>
    <t>东北</t>
  </si>
  <si>
    <t>沈阳中心仓</t>
  </si>
  <si>
    <t>标段一</t>
    <phoneticPr fontId="1" type="noConversion"/>
  </si>
  <si>
    <t>庄河中心仓</t>
  </si>
  <si>
    <t>标段一</t>
    <phoneticPr fontId="1" type="noConversion"/>
  </si>
  <si>
    <t>哈尔滨中心仓</t>
  </si>
  <si>
    <t>黑河中心仓</t>
  </si>
  <si>
    <t>佳木斯中心仓</t>
  </si>
  <si>
    <t>牡丹江中心仓</t>
  </si>
  <si>
    <t>华东</t>
  </si>
  <si>
    <t>南京中心仓</t>
  </si>
  <si>
    <t>芜湖中心仓</t>
  </si>
  <si>
    <t>徐州中心仓</t>
  </si>
  <si>
    <t>淮南中心仓</t>
  </si>
  <si>
    <t>华南</t>
  </si>
  <si>
    <t>信丰中心仓</t>
  </si>
  <si>
    <t>中原</t>
  </si>
  <si>
    <t>济南中心仓</t>
  </si>
  <si>
    <t>威海中心仓</t>
  </si>
  <si>
    <t>2025-5-1 - 2025-5-15</t>
  </si>
  <si>
    <t>2025-5-16 - 2025-5-30</t>
  </si>
  <si>
    <t>2025-6-15 - 2025-6-29</t>
  </si>
  <si>
    <t>2025-6-30 - 2025-7-14</t>
  </si>
  <si>
    <t>2025-7-15 - 2025-7-29</t>
  </si>
  <si>
    <t>2025-7-30 - 2025-8-13</t>
  </si>
  <si>
    <t>2025-8-14 - 2025-8-28</t>
  </si>
  <si>
    <t>2025-8-29 - 2025-9-12</t>
  </si>
  <si>
    <t>2025-9-13 - 2025-9-27</t>
  </si>
  <si>
    <t>2025-9-28 - 2025-10-1</t>
  </si>
  <si>
    <t>2025-4-1 - 2025-4-15</t>
  </si>
  <si>
    <t>2025-4-16 - 2025-4-30</t>
  </si>
  <si>
    <t>2025-5-31 - 2025-6-14</t>
  </si>
  <si>
    <t>5月</t>
  </si>
  <si>
    <t>6月</t>
  </si>
  <si>
    <t>7月</t>
  </si>
  <si>
    <t>8月</t>
  </si>
  <si>
    <t>9月</t>
  </si>
  <si>
    <t>4月</t>
  </si>
  <si>
    <r>
      <rPr>
        <sz val="11"/>
        <color rgb="FFFF0000"/>
        <rFont val="等线"/>
        <family val="3"/>
        <charset val="134"/>
        <scheme val="minor"/>
      </rPr>
      <t>1、计费说明：报价包含所有费用；逆向物流费用以正向价格计算；零担计费重量以WMS系统出库重量计算，零担业务为门到门运输配送及装卸；计费均以甲方最优计费结算；</t>
    </r>
    <r>
      <rPr>
        <sz val="11"/>
        <rFont val="等线"/>
        <family val="3"/>
        <charset val="134"/>
        <scheme val="minor"/>
      </rPr>
      <t xml:space="preserve">
2、</t>
    </r>
    <r>
      <rPr>
        <sz val="11"/>
        <color rgb="FFFF0000"/>
        <rFont val="等线"/>
        <family val="3"/>
        <charset val="134"/>
        <scheme val="minor"/>
      </rPr>
      <t>日常作业耗材：物流公司承担日常作业物资包材（纸箱、包装袋、木托等）；</t>
    </r>
    <r>
      <rPr>
        <sz val="11"/>
        <rFont val="等线"/>
        <family val="3"/>
        <charset val="134"/>
        <scheme val="minor"/>
      </rPr>
      <t xml:space="preserve">
</t>
    </r>
    <r>
      <rPr>
        <sz val="11"/>
        <color rgb="FFFF0000"/>
        <rFont val="等线"/>
        <family val="3"/>
        <charset val="134"/>
        <scheme val="minor"/>
      </rPr>
      <t>3、配送时效：零担时效为48小时，整车时效24小时，从提货时间开始计算；</t>
    </r>
    <r>
      <rPr>
        <sz val="11"/>
        <rFont val="等线"/>
        <family val="3"/>
        <charset val="134"/>
        <scheme val="minor"/>
      </rPr>
      <t xml:space="preserve">
4、</t>
    </r>
    <r>
      <rPr>
        <sz val="11"/>
        <color rgb="FFFF0000"/>
        <rFont val="等线"/>
        <family val="3"/>
        <charset val="134"/>
        <scheme val="minor"/>
      </rPr>
      <t>集拼串点费用补贴：当天所有出库物资同线路需集拼串点发运，多个始发地或目的地之间运输距离15公里(含)以下无补贴费用，15公里以上，13.5米串点费用150元/点，9.6米串点费用100元/点，6.8米串点费用50元/点；</t>
    </r>
    <r>
      <rPr>
        <sz val="11"/>
        <rFont val="等线"/>
        <family val="3"/>
        <charset val="134"/>
        <scheme val="minor"/>
      </rPr>
      <t xml:space="preserve">
5、公里数计算：以高德地图货车不走高速最短距离计算(不考虑车型，限行等因素)；串点里程计算以始发地至所有装卸货地相加计算，如始发地A-B-C，里程计算为A+B+C；
6、各车型装载量最低要求：4.2米整车2.5吨，6.8整车8吨，9.6米整车18吨，13.5米整车30吨；
7、管材类车型计算：钢管类(6米以上)按照6.8米整车起始计算，PE管类(包括10米及以上其他管材)按照13.5米整车起始计算；
8、其他：以上报价零担按公斤报价，整车按对应行业通用车型长度报价，该报价含9%增值税；</t>
    </r>
    <phoneticPr fontId="1" type="noConversion"/>
  </si>
  <si>
    <t>大连</t>
    <phoneticPr fontId="1" type="noConversion"/>
  </si>
  <si>
    <t>100&lt;R≤200</t>
    <phoneticPr fontId="1" type="noConversion"/>
  </si>
  <si>
    <t>元/T</t>
    <phoneticPr fontId="1" type="noConversion"/>
  </si>
  <si>
    <t>装卸</t>
    <phoneticPr fontId="1" type="noConversion"/>
  </si>
  <si>
    <t>元/T</t>
    <phoneticPr fontId="1" type="noConversion"/>
  </si>
  <si>
    <t>装卸</t>
    <phoneticPr fontId="1" type="noConversion"/>
  </si>
  <si>
    <t>装卸</t>
    <phoneticPr fontId="1" type="noConversion"/>
  </si>
  <si>
    <t>标段一</t>
    <phoneticPr fontId="1" type="noConversion"/>
  </si>
  <si>
    <t>装卸</t>
    <phoneticPr fontId="1" type="noConversion"/>
  </si>
  <si>
    <t>标段一</t>
    <phoneticPr fontId="1" type="noConversion"/>
  </si>
  <si>
    <t>杭州仓库</t>
  </si>
  <si>
    <t>元/T</t>
    <phoneticPr fontId="1" type="noConversion"/>
  </si>
  <si>
    <t>装卸</t>
    <phoneticPr fontId="1" type="noConversion"/>
  </si>
  <si>
    <t>锦州中心仓</t>
  </si>
  <si>
    <t>标段一</t>
    <phoneticPr fontId="1" type="noConversion"/>
  </si>
  <si>
    <t>元/T</t>
    <phoneticPr fontId="1" type="noConversion"/>
  </si>
  <si>
    <t>元/T</t>
    <phoneticPr fontId="1" type="noConversion"/>
  </si>
  <si>
    <t>装卸</t>
    <phoneticPr fontId="1" type="noConversion"/>
  </si>
  <si>
    <t>标段一</t>
    <phoneticPr fontId="1" type="noConversion"/>
  </si>
  <si>
    <t>标段</t>
    <phoneticPr fontId="1" type="noConversion"/>
  </si>
  <si>
    <t>装卸费用（元）</t>
    <phoneticPr fontId="1" type="noConversion"/>
  </si>
  <si>
    <t>年度出入库量/T</t>
    <phoneticPr fontId="1" type="noConversion"/>
  </si>
  <si>
    <t>单位报价（含税6%）</t>
    <phoneticPr fontId="1" type="noConversion"/>
  </si>
  <si>
    <t>单位</t>
  </si>
  <si>
    <t>业务类型</t>
    <phoneticPr fontId="1" type="noConversion"/>
  </si>
  <si>
    <t>仓库名称</t>
    <phoneticPr fontId="1" type="noConversion"/>
  </si>
  <si>
    <t>区域</t>
    <phoneticPr fontId="1" type="noConversion"/>
  </si>
  <si>
    <t>说明：</t>
    <phoneticPr fontId="1" type="noConversion"/>
  </si>
  <si>
    <t>计算公式=(室内面积+室外面积)*月度单位面积管理费*12</t>
    <phoneticPr fontId="1" type="noConversion"/>
  </si>
  <si>
    <t>年度仓库管理费计算逻辑</t>
    <phoneticPr fontId="1" type="noConversion"/>
  </si>
  <si>
    <t>合计</t>
    <phoneticPr fontId="1" type="noConversion"/>
  </si>
  <si>
    <t>庄河中心仓</t>
    <phoneticPr fontId="1" type="noConversion"/>
  </si>
  <si>
    <t>说明</t>
    <phoneticPr fontId="1" type="noConversion"/>
  </si>
  <si>
    <t>年度仓储管理费/元</t>
    <phoneticPr fontId="1" type="noConversion"/>
  </si>
  <si>
    <t>月度单位面积管理费/元/㎡</t>
    <phoneticPr fontId="1" type="noConversion"/>
  </si>
  <si>
    <t>室外面积/㎡</t>
    <phoneticPr fontId="1" type="noConversion"/>
  </si>
  <si>
    <t>室内面积/㎡</t>
    <phoneticPr fontId="1" type="noConversion"/>
  </si>
  <si>
    <t>仓库类型</t>
    <phoneticPr fontId="1" type="noConversion"/>
  </si>
  <si>
    <t>仓库地址：</t>
    <phoneticPr fontId="1" type="noConversion"/>
  </si>
  <si>
    <t>仓储管理费</t>
    <phoneticPr fontId="1" type="noConversion"/>
  </si>
  <si>
    <t>仓储、配送与装卸的总和得出投标总报价</t>
    <phoneticPr fontId="1" type="noConversion"/>
  </si>
  <si>
    <t>投标总报价计算逻辑</t>
    <phoneticPr fontId="1" type="noConversion"/>
  </si>
  <si>
    <t>税率</t>
    <phoneticPr fontId="1" type="noConversion"/>
  </si>
  <si>
    <t>装卸报价</t>
    <phoneticPr fontId="1" type="noConversion"/>
  </si>
  <si>
    <t>支线报价</t>
    <phoneticPr fontId="1" type="noConversion"/>
  </si>
  <si>
    <t>仓营报价</t>
    <phoneticPr fontId="1" type="noConversion"/>
  </si>
  <si>
    <t>年度总价</t>
    <phoneticPr fontId="1" type="noConversion"/>
  </si>
  <si>
    <t>此套报价表仅需填写黄色单元格区域！</t>
    <phoneticPr fontId="1" type="noConversion"/>
  </si>
  <si>
    <t>配送9%，仓营，装卸6%</t>
    <phoneticPr fontId="1" type="noConversion"/>
  </si>
  <si>
    <t>合并仓库明细</t>
    <phoneticPr fontId="1" type="noConversion"/>
  </si>
  <si>
    <t>200&lt;R≤300</t>
    <phoneticPr fontId="1" type="noConversion"/>
  </si>
  <si>
    <t>0&lt;R≤100</t>
    <phoneticPr fontId="1" type="noConversion"/>
  </si>
  <si>
    <t>300&lt;R≤400</t>
    <phoneticPr fontId="1" type="noConversion"/>
  </si>
  <si>
    <t>0&lt;R≤100</t>
    <phoneticPr fontId="1" type="noConversion"/>
  </si>
  <si>
    <t>地址</t>
    <phoneticPr fontId="1" type="noConversion"/>
  </si>
  <si>
    <t>辽宁省大连庄河市大郑镇姜窑村十间房屯原十间房小学（大连百利机床有限公司南100米）</t>
  </si>
  <si>
    <t>黑龙江省哈尔滨市阿城区远创钢结构院内</t>
  </si>
  <si>
    <t>黑龙江省佳木斯市向阳区滨江路757号</t>
  </si>
  <si>
    <t>黑龙江省黑河市爱辉区幸福乡河南屯村黑河市途博贸易有限公司院内</t>
  </si>
  <si>
    <t>黑龙江省牡丹江市爱民区大庆路羊草沟牡丹江中燃LNG北站（亿丰煤气厂北1000米</t>
  </si>
  <si>
    <t>安徽省淮南市田家庵区田东百顺液化气罐装站内中燃仓库</t>
  </si>
  <si>
    <t>江苏省邳州市古城路288号江苏昆廷装饰材料有限公司院内（中燃公司）</t>
  </si>
  <si>
    <t>华东</t>
    <phoneticPr fontId="1" type="noConversion"/>
  </si>
  <si>
    <t>山东省济南市济阳区崔寨街道万纬济南济阳园区1号库</t>
    <phoneticPr fontId="1" type="noConversion"/>
  </si>
  <si>
    <t>0&lt;R≤100</t>
    <phoneticPr fontId="1" type="noConversion"/>
  </si>
  <si>
    <t>南京</t>
    <phoneticPr fontId="1" type="noConversion"/>
  </si>
  <si>
    <t>100&lt;R≤200</t>
    <phoneticPr fontId="1" type="noConversion"/>
  </si>
  <si>
    <t>200&lt;R≤300</t>
    <phoneticPr fontId="1" type="noConversion"/>
  </si>
  <si>
    <t>200&lt;R≤300</t>
    <phoneticPr fontId="1" type="noConversion"/>
  </si>
  <si>
    <t>江苏省南京市六合区龙袍街道小四坝头</t>
    <phoneticPr fontId="1" type="noConversion"/>
  </si>
  <si>
    <t>中心仓地址</t>
    <phoneticPr fontId="1" type="noConversion"/>
  </si>
  <si>
    <t>辽宁省沈阳经济技术开发区北二路10号</t>
    <phoneticPr fontId="1" type="noConversion"/>
  </si>
  <si>
    <t>东北</t>
    <phoneticPr fontId="1" type="noConversion"/>
  </si>
  <si>
    <t>锦州</t>
    <phoneticPr fontId="1" type="noConversion"/>
  </si>
  <si>
    <t>辽宁省锦州市凌河区延安路六段七号</t>
    <phoneticPr fontId="1" type="noConversion"/>
  </si>
  <si>
    <t>安徽省芜湖市弋江南路320号（芜湖中燃南门站）</t>
    <phoneticPr fontId="1" type="noConversion"/>
  </si>
  <si>
    <t>江苏省南京市六合区康正路21号</t>
    <phoneticPr fontId="1" type="noConversion"/>
  </si>
  <si>
    <t>杭州</t>
    <phoneticPr fontId="1" type="noConversion"/>
  </si>
  <si>
    <t>浙江省杭州市钱塘区河庄街道建一村1组杭州中燃仓库</t>
    <phoneticPr fontId="1" type="noConversion"/>
  </si>
  <si>
    <t>山东省威海市文登区米山路168号</t>
    <phoneticPr fontId="1" type="noConversion"/>
  </si>
  <si>
    <t>预计配送费用万元/年</t>
    <phoneticPr fontId="1" type="noConversion"/>
  </si>
  <si>
    <t>滨州</t>
  </si>
  <si>
    <t>济南章丘</t>
    <phoneticPr fontId="1" type="noConversion"/>
  </si>
  <si>
    <t>济南章丘</t>
    <phoneticPr fontId="1" type="noConversion"/>
  </si>
  <si>
    <t>婺源</t>
  </si>
  <si>
    <t>2025-10-9 - 2025-10-23</t>
  </si>
  <si>
    <t>2025-10-24 - 2025-11-7</t>
  </si>
  <si>
    <t>2025-11-8 - 2025-11-22</t>
  </si>
  <si>
    <t>2025-11-23 - 2025-12-7</t>
  </si>
  <si>
    <t>2025-12-8 - 2025-12-22</t>
  </si>
  <si>
    <t>2025-12-23 - 2026-1-6</t>
  </si>
  <si>
    <t>2026-1-7 - 2026-1-21</t>
  </si>
  <si>
    <t>2026-1-22 - 2026-2-5</t>
  </si>
  <si>
    <t>中心仓</t>
    <phoneticPr fontId="1" type="noConversion"/>
  </si>
  <si>
    <t>配送地区</t>
    <phoneticPr fontId="1" type="noConversion"/>
  </si>
  <si>
    <t>25财出库吨位</t>
    <phoneticPr fontId="1" type="noConversion"/>
  </si>
  <si>
    <t>备注</t>
    <phoneticPr fontId="1" type="noConversion"/>
  </si>
  <si>
    <t>原仓库地址</t>
    <phoneticPr fontId="1" type="noConversion"/>
  </si>
  <si>
    <t>华东区域</t>
    <phoneticPr fontId="1" type="noConversion"/>
  </si>
  <si>
    <t>华东区域</t>
    <phoneticPr fontId="1" type="noConversion"/>
  </si>
  <si>
    <t>婺源</t>
    <phoneticPr fontId="1" type="noConversion"/>
  </si>
  <si>
    <t>江西省上饶市婺源县七里亭天然气公司</t>
  </si>
  <si>
    <t>滨州</t>
    <phoneticPr fontId="1" type="noConversion"/>
  </si>
  <si>
    <t>山东省滨州市滨城区杨柳雪镇后李村</t>
  </si>
  <si>
    <t>南京</t>
    <phoneticPr fontId="1" type="noConversion"/>
  </si>
  <si>
    <t>威海</t>
    <phoneticPr fontId="1" type="noConversion"/>
  </si>
  <si>
    <t>江西省赣州市信丰县工业园迎宾大道东侧一如酒店后面综合仓库</t>
    <phoneticPr fontId="1" type="noConversion"/>
  </si>
  <si>
    <t>配送投入运作时间</t>
    <phoneticPr fontId="1" type="noConversion"/>
  </si>
  <si>
    <t>配送物资吨位</t>
    <phoneticPr fontId="1" type="noConversion"/>
  </si>
  <si>
    <t>装卸投入运作时间</t>
    <phoneticPr fontId="1" type="noConversion"/>
  </si>
  <si>
    <t>合同签订后一个月内</t>
    <phoneticPr fontId="1" type="noConversion"/>
  </si>
  <si>
    <t>招标类型</t>
    <phoneticPr fontId="1" type="noConversion"/>
  </si>
  <si>
    <t>序号</t>
    <phoneticPr fontId="1" type="noConversion"/>
  </si>
  <si>
    <t>价格说明：
1）该报价含6%增值税，报价有效期为一年；
2）按照以下报价进行费用结算（不足1月的，按照当月实际天数计算）；
3）供应商合同签订后一个月内需投入运作；</t>
    <phoneticPr fontId="1" type="noConversion"/>
  </si>
  <si>
    <t>业务类型</t>
    <phoneticPr fontId="1" type="noConversion"/>
  </si>
  <si>
    <t>装卸搬运+运输服务</t>
  </si>
  <si>
    <t>仓储服务+运输服务</t>
  </si>
  <si>
    <t>运输服务</t>
    <phoneticPr fontId="1" type="noConversion"/>
  </si>
  <si>
    <t>运输服务</t>
    <phoneticPr fontId="1" type="noConversion"/>
  </si>
  <si>
    <t>装卸搬运</t>
    <phoneticPr fontId="1" type="noConversion"/>
  </si>
  <si>
    <t>装卸搬运</t>
    <phoneticPr fontId="1" type="noConversion"/>
  </si>
  <si>
    <t>服务内容按照合同第三部分“装卸搬运服务”执行</t>
    <phoneticPr fontId="1" type="noConversion"/>
  </si>
  <si>
    <t>管理费包含：
1）到货清点、商品验收、系统操作，PDA扫码等；
2）商品存储保管，商品清洁维护，定期盘点，代打印、张贴条码等；
3）包括但不限于仓库管理人员产生的薪资、福利、补贴、保险；
4）仓储作业中产生的所有水电费，网络费等；
5）包括不限于库内生产所需要的监控、货架、消防设备、叉车、托盘、办公用具、质量检测工具、劳保用品等生产运营工具；6S整改（除草、除雪、垃圾清运等）、作业设备维修保养（航吊等）、办公设备、办公用品耗材等费用。</t>
    <phoneticPr fontId="1" type="noConversion"/>
  </si>
  <si>
    <t>支线配送</t>
    <phoneticPr fontId="1" type="noConversion"/>
  </si>
  <si>
    <t>服务内容按照仓配一体合同第二部分“运输服务”及第三部分“装卸搬运服务”执行</t>
    <phoneticPr fontId="1" type="noConversion"/>
  </si>
  <si>
    <t>服务内容按照仓配一体合同合同第一部分“仓储服务”及第二部分“运输服务”执行</t>
    <phoneticPr fontId="1" type="noConversion"/>
  </si>
  <si>
    <t>服务内容按照仓配一体合同合同第二部分“运输服务”及第三部分“装卸搬运服务”执行</t>
    <phoneticPr fontId="1" type="noConversion"/>
  </si>
  <si>
    <t>服务内容按照仓配一体合同合同第三部分“装卸搬运服务”执行</t>
    <phoneticPr fontId="1" type="noConversion"/>
  </si>
  <si>
    <t>服务内容按照仓配一体合同合同第二部分“运输服务”执行</t>
    <phoneticPr fontId="1" type="noConversion"/>
  </si>
  <si>
    <t>服务内容按照仓配一体合同合同第二部分“运输服务”及第三部分“装卸搬运服务”执行</t>
    <phoneticPr fontId="1" type="noConversion"/>
  </si>
  <si>
    <t>服务内容按照仓配一体合同合同第二部分“运输服务”执行</t>
    <phoneticPr fontId="1" type="noConversion"/>
  </si>
  <si>
    <t>服务内容按照仓配一体合同合同第二部分“运输服务”及第三部分“装卸搬运服务”执行</t>
    <phoneticPr fontId="1" type="noConversion"/>
  </si>
  <si>
    <t>备注：业务管理要求均按照仓配一体服务合同附件二“仓配一体化服务要求”执行；</t>
    <phoneticPr fontId="1" type="noConversion"/>
  </si>
  <si>
    <t>1）本报价含6%增值税，含保险。
2）计算逻辑：流量费用=单位报价*年度出/入库量，数据来源WMS系统25财年数据；
3）服务商承担物资装卸使用工具及劳保用品；
4）作业内容及标准参照合同要求；
5）本报价含吊装叉车作业报价。</t>
    <phoneticPr fontId="1" type="noConversion"/>
  </si>
  <si>
    <t>1、庄河中心仓：辽宁省大连市庄河市建设南二街与疏港路交叉口140米
2、不排除仓库地址、面积因业务变动而调整，以甲方业务实际为准</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</si>
</sst>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0.00_ ;_ &quot;¥&quot;* \-#,##0.00_ ;_ &quot;¥&quot;* &quot;-&quot;??_ ;_ @_ "/>
    <numFmt numFmtId="176" formatCode="0.00_ "/>
    <numFmt numFmtId="177" formatCode="#,##0.00_ "/>
    <numFmt numFmtId="178" formatCode="0.0000"/>
    <numFmt numFmtId="179" formatCode="0.000"/>
    <numFmt numFmtId="180" formatCode="0.00000"/>
    <numFmt numFmtId="181" formatCode="0.00000_ "/>
    <numFmt numFmtId="182" formatCode="0.0"/>
    <numFmt numFmtId="183" formatCode="0.00_);[Red]\(0.00\)"/>
  </numFmts>
  <fonts count="33" x14ac:knownFonts="1">
    <font>
      <sz val="11"/>
      <color theme="1"/>
      <name val="等线"/>
      <family val="2"/>
      <scheme val="minor"/>
    </font>
    <font>
      <sz val="9"/>
      <name val="等线"/>
      <family val="3"/>
      <charset val="134"/>
      <scheme val="minor"/>
    </font>
    <font>
      <sz val="11"/>
      <color theme="1"/>
      <name val="等线"/>
      <family val="3"/>
      <charset val="134"/>
      <scheme val="minor"/>
    </font>
    <font>
      <sz val="11"/>
      <color rgb="FFFF0000"/>
      <name val="等线"/>
      <family val="3"/>
      <charset val="134"/>
      <scheme val="minor"/>
    </font>
    <font>
      <sz val="11"/>
      <color theme="1"/>
      <name val="宋体"/>
      <family val="3"/>
      <charset val="134"/>
    </font>
    <font>
      <b/>
      <sz val="11"/>
      <color theme="1"/>
      <name val="等线"/>
      <family val="3"/>
      <charset val="134"/>
      <scheme val="minor"/>
    </font>
    <font>
      <sz val="11"/>
      <name val="等线"/>
      <family val="3"/>
      <charset val="134"/>
      <scheme val="minor"/>
    </font>
    <font>
      <sz val="10"/>
      <color theme="1"/>
      <name val="等线"/>
      <family val="3"/>
      <charset val="134"/>
      <scheme val="minor"/>
    </font>
    <font>
      <sz val="10"/>
      <color theme="1"/>
      <name val="等线"/>
      <family val="2"/>
      <scheme val="minor"/>
    </font>
    <font>
      <b/>
      <sz val="11"/>
      <color theme="1"/>
      <name val="等线"/>
      <family val="2"/>
      <scheme val="minor"/>
    </font>
    <font>
      <sz val="10"/>
      <color theme="1"/>
      <name val="等线"/>
      <family val="3"/>
      <charset val="134"/>
    </font>
    <font>
      <sz val="10"/>
      <name val="等线"/>
      <family val="3"/>
      <charset val="134"/>
      <scheme val="minor"/>
    </font>
    <font>
      <sz val="11"/>
      <color theme="1"/>
      <name val="仿宋"/>
      <family val="3"/>
      <charset val="134"/>
    </font>
    <font>
      <sz val="11"/>
      <color theme="1"/>
      <name val="等线"/>
      <family val="3"/>
      <charset val="134"/>
    </font>
    <font>
      <sz val="11"/>
      <color theme="1"/>
      <name val="华文仿宋"/>
      <family val="3"/>
      <charset val="134"/>
    </font>
    <font>
      <b/>
      <sz val="11"/>
      <color theme="1"/>
      <name val="华文仿宋"/>
      <family val="3"/>
      <charset val="134"/>
    </font>
    <font>
      <sz val="11"/>
      <color rgb="FFFF0000"/>
      <name val="华文仿宋"/>
      <family val="3"/>
      <charset val="134"/>
    </font>
    <font>
      <sz val="11"/>
      <name val="华文仿宋"/>
      <family val="3"/>
      <charset val="134"/>
    </font>
    <font>
      <b/>
      <sz val="11"/>
      <color rgb="FFFF0000"/>
      <name val="等线"/>
      <family val="3"/>
      <charset val="134"/>
      <scheme val="minor"/>
    </font>
    <font>
      <sz val="9"/>
      <color theme="1"/>
      <name val="等线"/>
      <family val="3"/>
      <charset val="134"/>
      <scheme val="minor"/>
    </font>
    <font>
      <i/>
      <sz val="10"/>
      <color theme="1"/>
      <name val="等线"/>
      <family val="3"/>
      <charset val="134"/>
      <scheme val="minor"/>
    </font>
    <font>
      <b/>
      <sz val="10"/>
      <color theme="1"/>
      <name val="等线"/>
      <family val="3"/>
      <charset val="134"/>
      <scheme val="minor"/>
    </font>
    <font>
      <b/>
      <sz val="12"/>
      <color theme="1"/>
      <name val="等线"/>
      <family val="3"/>
      <charset val="134"/>
      <scheme val="minor"/>
    </font>
    <font>
      <b/>
      <sz val="16"/>
      <color theme="1"/>
      <name val="等线"/>
      <family val="3"/>
      <charset val="134"/>
      <scheme val="minor"/>
    </font>
    <font>
      <b/>
      <sz val="16"/>
      <name val="等线"/>
      <family val="3"/>
      <charset val="134"/>
      <scheme val="minor"/>
    </font>
    <font>
      <b/>
      <sz val="12"/>
      <color rgb="FFFF0000"/>
      <name val="等线"/>
      <family val="3"/>
      <charset val="134"/>
      <scheme val="minor"/>
    </font>
    <font>
      <sz val="14"/>
      <color theme="1"/>
      <name val="仿宋"/>
      <family val="3"/>
      <charset val="134"/>
    </font>
    <font>
      <sz val="11"/>
      <name val="仿宋"/>
      <family val="3"/>
      <charset val="134"/>
    </font>
    <font>
      <sz val="11"/>
      <name val="等线"/>
      <family val="2"/>
      <scheme val="minor"/>
    </font>
    <font>
      <b/>
      <sz val="12"/>
      <color theme="1"/>
      <name val="华文仿宋"/>
      <family val="3"/>
      <charset val="134"/>
    </font>
    <font>
      <sz val="12"/>
      <color theme="1"/>
      <name val="华文仿宋"/>
      <family val="3"/>
      <charset val="134"/>
    </font>
    <font>
      <b/>
      <sz val="12"/>
      <name val="华文仿宋"/>
      <family val="3"/>
      <charset val="134"/>
    </font>
    <font>
      <sz val="12"/>
      <name val="华文仿宋"/>
      <family val="3"/>
      <charset val="134"/>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top/>
      <bottom style="thin">
        <color theme="4" tint="0.39997558519241921"/>
      </bottom>
      <diagonal/>
    </border>
    <border>
      <left style="thin">
        <color auto="1"/>
      </left>
      <right style="thin">
        <color auto="1"/>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diagonal/>
    </border>
    <border>
      <left style="medium">
        <color indexed="64"/>
      </left>
      <right/>
      <top style="thin">
        <color auto="1"/>
      </top>
      <bottom/>
      <diagonal/>
    </border>
    <border>
      <left/>
      <right style="medium">
        <color indexed="64"/>
      </right>
      <top style="thin">
        <color auto="1"/>
      </top>
      <bottom/>
      <diagonal/>
    </border>
    <border>
      <left style="thin">
        <color auto="1"/>
      </left>
      <right/>
      <top style="thin">
        <color auto="1"/>
      </top>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medium">
        <color indexed="64"/>
      </bottom>
      <diagonal/>
    </border>
    <border>
      <left style="thin">
        <color auto="1"/>
      </left>
      <right/>
      <top/>
      <bottom style="thin">
        <color auto="1"/>
      </bottom>
      <diagonal/>
    </border>
    <border>
      <left/>
      <right/>
      <top/>
      <bottom style="thin">
        <color auto="1"/>
      </bottom>
      <diagonal/>
    </border>
  </borders>
  <cellStyleXfs count="3">
    <xf numFmtId="0" fontId="0" fillId="0" borderId="0"/>
    <xf numFmtId="0" fontId="2" fillId="0" borderId="0">
      <alignment vertical="center"/>
    </xf>
    <xf numFmtId="44" fontId="2" fillId="0" borderId="0" applyFont="0" applyFill="0" applyBorder="0" applyAlignment="0" applyProtection="0">
      <alignment vertical="center"/>
    </xf>
  </cellStyleXfs>
  <cellXfs count="203">
    <xf numFmtId="0" fontId="0" fillId="0" borderId="0" xfId="0"/>
    <xf numFmtId="0" fontId="2" fillId="0" borderId="0" xfId="1">
      <alignment vertical="center"/>
    </xf>
    <xf numFmtId="0" fontId="2" fillId="0" borderId="0" xfId="1" applyAlignment="1">
      <alignment horizontal="center" vertical="center"/>
    </xf>
    <xf numFmtId="0" fontId="2" fillId="0" borderId="2" xfId="1" applyBorder="1" applyAlignment="1">
      <alignment vertical="center" wrapText="1"/>
    </xf>
    <xf numFmtId="0" fontId="2" fillId="0" borderId="1" xfId="1" applyBorder="1">
      <alignment vertical="center"/>
    </xf>
    <xf numFmtId="1" fontId="2" fillId="2" borderId="3" xfId="1" applyNumberFormat="1" applyFill="1" applyBorder="1">
      <alignment vertical="center"/>
    </xf>
    <xf numFmtId="1" fontId="2" fillId="2" borderId="4" xfId="1" applyNumberFormat="1" applyFill="1" applyBorder="1">
      <alignment vertical="center"/>
    </xf>
    <xf numFmtId="176" fontId="0" fillId="2" borderId="5" xfId="0" applyNumberFormat="1" applyFill="1" applyBorder="1" applyAlignment="1">
      <alignment horizontal="left" vertical="center"/>
    </xf>
    <xf numFmtId="0" fontId="0" fillId="3" borderId="1" xfId="0" applyFill="1" applyBorder="1" applyAlignment="1">
      <alignment horizontal="center" vertical="center"/>
    </xf>
    <xf numFmtId="2" fontId="0" fillId="3" borderId="1" xfId="0" applyNumberFormat="1" applyFill="1" applyBorder="1" applyAlignment="1">
      <alignment horizontal="center" vertical="center"/>
    </xf>
    <xf numFmtId="0" fontId="2" fillId="0" borderId="1" xfId="1" applyBorder="1" applyAlignment="1">
      <alignment horizontal="center" vertical="center"/>
    </xf>
    <xf numFmtId="0" fontId="2" fillId="0" borderId="0" xfId="1" applyAlignment="1">
      <alignment horizontal="center" vertical="center" wrapText="1"/>
    </xf>
    <xf numFmtId="0" fontId="2" fillId="0" borderId="1" xfId="1" applyBorder="1" applyAlignment="1">
      <alignment horizontal="center" vertical="center" wrapText="1"/>
    </xf>
    <xf numFmtId="0" fontId="0" fillId="0" borderId="0" xfId="0" applyAlignment="1">
      <alignment vertical="center"/>
    </xf>
    <xf numFmtId="2" fontId="0" fillId="2" borderId="3" xfId="0" applyNumberFormat="1" applyFill="1" applyBorder="1" applyAlignment="1">
      <alignment vertical="center"/>
    </xf>
    <xf numFmtId="2" fontId="0" fillId="2" borderId="4" xfId="0" applyNumberFormat="1" applyFill="1" applyBorder="1" applyAlignment="1">
      <alignment vertical="center"/>
    </xf>
    <xf numFmtId="177" fontId="0" fillId="3" borderId="1" xfId="0" applyNumberFormat="1" applyFill="1" applyBorder="1" applyAlignment="1">
      <alignment horizontal="center" vertical="center"/>
    </xf>
    <xf numFmtId="0" fontId="2" fillId="0" borderId="1" xfId="0" applyFont="1" applyBorder="1" applyAlignment="1">
      <alignment vertical="center"/>
    </xf>
    <xf numFmtId="0" fontId="0" fillId="0" borderId="1" xfId="0" applyBorder="1" applyAlignment="1">
      <alignment horizontal="center" vertical="center"/>
    </xf>
    <xf numFmtId="0" fontId="0" fillId="0" borderId="0" xfId="0" applyAlignment="1">
      <alignment horizontal="center" vertical="center" wrapText="1"/>
    </xf>
    <xf numFmtId="0" fontId="2" fillId="0" borderId="1" xfId="0" applyFont="1" applyBorder="1" applyAlignment="1">
      <alignment horizontal="center" vertical="center" wrapText="1"/>
    </xf>
    <xf numFmtId="0" fontId="0" fillId="0" borderId="6" xfId="0" applyBorder="1" applyAlignment="1">
      <alignment vertical="center" wrapText="1"/>
    </xf>
    <xf numFmtId="10" fontId="2" fillId="0" borderId="0" xfId="1" applyNumberFormat="1">
      <alignment vertical="center"/>
    </xf>
    <xf numFmtId="177" fontId="2" fillId="3" borderId="1" xfId="1" applyNumberFormat="1" applyFill="1" applyBorder="1" applyAlignment="1">
      <alignment horizontal="center" vertical="center"/>
    </xf>
    <xf numFmtId="1" fontId="0" fillId="2" borderId="3" xfId="0" applyNumberFormat="1" applyFill="1" applyBorder="1" applyAlignment="1">
      <alignment vertical="center"/>
    </xf>
    <xf numFmtId="1" fontId="0" fillId="2" borderId="4" xfId="0" applyNumberFormat="1" applyFill="1" applyBorder="1" applyAlignment="1">
      <alignment vertical="center"/>
    </xf>
    <xf numFmtId="0" fontId="0" fillId="0" borderId="1" xfId="0" applyBorder="1" applyAlignment="1">
      <alignment horizontal="center" vertical="center" wrapText="1"/>
    </xf>
    <xf numFmtId="10" fontId="0" fillId="0" borderId="0" xfId="0" applyNumberFormat="1" applyAlignment="1">
      <alignment vertical="center"/>
    </xf>
    <xf numFmtId="0" fontId="2" fillId="3" borderId="1" xfId="0" applyFont="1" applyFill="1" applyBorder="1" applyAlignment="1">
      <alignment horizontal="center" vertical="center"/>
    </xf>
    <xf numFmtId="176" fontId="0" fillId="2" borderId="3" xfId="0" applyNumberFormat="1" applyFill="1" applyBorder="1" applyAlignment="1">
      <alignment vertical="center"/>
    </xf>
    <xf numFmtId="176" fontId="0" fillId="2" borderId="4" xfId="0" applyNumberFormat="1" applyFill="1" applyBorder="1" applyAlignment="1">
      <alignment vertical="center"/>
    </xf>
    <xf numFmtId="0" fontId="2" fillId="0" borderId="7" xfId="1" applyBorder="1" applyAlignment="1">
      <alignment vertical="center" wrapText="1"/>
    </xf>
    <xf numFmtId="1" fontId="2" fillId="2" borderId="1" xfId="1" applyNumberFormat="1" applyFill="1" applyBorder="1">
      <alignment vertical="center"/>
    </xf>
    <xf numFmtId="178" fontId="2" fillId="0" borderId="0" xfId="1" applyNumberFormat="1">
      <alignment vertical="center"/>
    </xf>
    <xf numFmtId="179" fontId="2" fillId="0" borderId="0" xfId="1" applyNumberFormat="1">
      <alignment vertical="center"/>
    </xf>
    <xf numFmtId="0" fontId="6" fillId="0" borderId="0" xfId="1" applyFont="1">
      <alignment vertical="center"/>
    </xf>
    <xf numFmtId="14" fontId="2" fillId="0" borderId="0" xfId="1" applyNumberFormat="1">
      <alignment vertical="center"/>
    </xf>
    <xf numFmtId="0" fontId="7" fillId="0" borderId="0" xfId="1" applyFont="1">
      <alignment vertical="center"/>
    </xf>
    <xf numFmtId="178" fontId="7" fillId="0" borderId="0" xfId="1" applyNumberFormat="1" applyFont="1">
      <alignment vertical="center"/>
    </xf>
    <xf numFmtId="180" fontId="7" fillId="0" borderId="0" xfId="1" applyNumberFormat="1" applyFont="1">
      <alignment vertical="center"/>
    </xf>
    <xf numFmtId="0" fontId="7" fillId="0" borderId="0" xfId="1" applyFont="1" applyAlignment="1">
      <alignment horizontal="left"/>
    </xf>
    <xf numFmtId="0" fontId="8" fillId="0" borderId="0" xfId="1" applyFont="1" applyAlignment="1"/>
    <xf numFmtId="2" fontId="0" fillId="0" borderId="0" xfId="0" applyNumberFormat="1"/>
    <xf numFmtId="14" fontId="9" fillId="0" borderId="0" xfId="0" applyNumberFormat="1" applyFont="1"/>
    <xf numFmtId="0" fontId="9" fillId="0" borderId="0" xfId="0" applyFont="1"/>
    <xf numFmtId="14" fontId="9" fillId="0" borderId="8" xfId="0" applyNumberFormat="1" applyFont="1" applyBorder="1"/>
    <xf numFmtId="2" fontId="7" fillId="0" borderId="0" xfId="1" applyNumberFormat="1" applyFont="1">
      <alignment vertical="center"/>
    </xf>
    <xf numFmtId="0" fontId="10" fillId="0" borderId="0" xfId="1" applyFont="1" applyAlignment="1">
      <alignment horizontal="center"/>
    </xf>
    <xf numFmtId="0" fontId="10" fillId="0" borderId="0" xfId="1" applyFont="1" applyAlignment="1">
      <alignment horizontal="left"/>
    </xf>
    <xf numFmtId="0" fontId="10" fillId="0" borderId="0" xfId="1" applyFont="1" applyAlignment="1"/>
    <xf numFmtId="0" fontId="7" fillId="0" borderId="0" xfId="1" applyFont="1" applyAlignment="1"/>
    <xf numFmtId="0" fontId="9" fillId="0" borderId="8" xfId="0" applyFont="1" applyBorder="1"/>
    <xf numFmtId="179" fontId="7" fillId="0" borderId="0" xfId="1" applyNumberFormat="1" applyFont="1">
      <alignment vertical="center"/>
    </xf>
    <xf numFmtId="0" fontId="0" fillId="0" borderId="0" xfId="0" applyAlignment="1">
      <alignment horizontal="left"/>
    </xf>
    <xf numFmtId="14" fontId="9" fillId="0" borderId="0" xfId="0" applyNumberFormat="1" applyFont="1" applyAlignment="1">
      <alignment horizontal="center" vertical="center"/>
    </xf>
    <xf numFmtId="0" fontId="9" fillId="0" borderId="0" xfId="0" applyFont="1" applyAlignment="1">
      <alignment horizontal="left"/>
    </xf>
    <xf numFmtId="181" fontId="7" fillId="0" borderId="0" xfId="1" applyNumberFormat="1" applyFont="1">
      <alignment vertical="center"/>
    </xf>
    <xf numFmtId="0" fontId="7" fillId="0" borderId="0" xfId="1" applyFont="1" applyAlignment="1">
      <alignment horizontal="center" vertical="center"/>
    </xf>
    <xf numFmtId="14" fontId="8" fillId="0" borderId="0" xfId="1" applyNumberFormat="1" applyFont="1" applyAlignment="1"/>
    <xf numFmtId="182" fontId="7" fillId="0" borderId="0" xfId="1" applyNumberFormat="1" applyFont="1">
      <alignment vertical="center"/>
    </xf>
    <xf numFmtId="0" fontId="8" fillId="0" borderId="0" xfId="0" applyFont="1" applyAlignment="1">
      <alignment vertical="center"/>
    </xf>
    <xf numFmtId="178" fontId="8" fillId="0" borderId="0" xfId="0" applyNumberFormat="1" applyFont="1" applyAlignment="1">
      <alignment vertical="center"/>
    </xf>
    <xf numFmtId="0" fontId="0" fillId="0" borderId="0" xfId="0" applyAlignment="1">
      <alignment horizontal="center"/>
    </xf>
    <xf numFmtId="177" fontId="2" fillId="3" borderId="5" xfId="1" applyNumberFormat="1" applyFill="1" applyBorder="1" applyAlignment="1">
      <alignment horizontal="center" vertical="center"/>
    </xf>
    <xf numFmtId="0" fontId="11" fillId="0" borderId="0" xfId="1" applyFont="1">
      <alignment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4" fillId="0" borderId="1" xfId="0" applyFont="1" applyBorder="1" applyAlignment="1">
      <alignment horizontal="center" vertical="center"/>
    </xf>
    <xf numFmtId="57"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xf>
    <xf numFmtId="176" fontId="14" fillId="0" borderId="1" xfId="0" applyNumberFormat="1" applyFont="1" applyBorder="1" applyAlignment="1">
      <alignment horizontal="center" vertical="center"/>
    </xf>
    <xf numFmtId="0" fontId="14" fillId="0" borderId="9" xfId="0" applyFont="1" applyBorder="1" applyAlignment="1">
      <alignment horizontal="left" vertical="center"/>
    </xf>
    <xf numFmtId="0" fontId="17" fillId="0" borderId="1" xfId="0" applyFont="1" applyBorder="1" applyAlignment="1">
      <alignment horizontal="center" vertical="center"/>
    </xf>
    <xf numFmtId="0" fontId="16" fillId="0" borderId="1" xfId="0" applyFont="1" applyBorder="1" applyAlignment="1">
      <alignment horizontal="center" vertical="center"/>
    </xf>
    <xf numFmtId="0" fontId="3" fillId="0" borderId="0" xfId="1" applyFont="1">
      <alignment vertical="center"/>
    </xf>
    <xf numFmtId="14" fontId="18" fillId="0" borderId="0" xfId="0" applyNumberFormat="1" applyFont="1"/>
    <xf numFmtId="0" fontId="18" fillId="0" borderId="0" xfId="0" applyFont="1"/>
    <xf numFmtId="0" fontId="3" fillId="0" borderId="0" xfId="0" applyFont="1"/>
    <xf numFmtId="2" fontId="3" fillId="0" borderId="0" xfId="0" applyNumberFormat="1" applyFont="1"/>
    <xf numFmtId="179" fontId="3" fillId="0" borderId="0" xfId="1" applyNumberFormat="1" applyFont="1">
      <alignment vertical="center"/>
    </xf>
    <xf numFmtId="178" fontId="3" fillId="0" borderId="0" xfId="1" applyNumberFormat="1" applyFont="1">
      <alignment vertical="center"/>
    </xf>
    <xf numFmtId="176" fontId="2" fillId="0" borderId="0" xfId="1" applyNumberFormat="1" applyAlignment="1">
      <alignment horizontal="center" vertical="center"/>
    </xf>
    <xf numFmtId="176" fontId="19" fillId="0" borderId="0" xfId="1" applyNumberFormat="1" applyFont="1" applyAlignment="1">
      <alignment horizontal="center" vertical="center"/>
    </xf>
    <xf numFmtId="0" fontId="20" fillId="2" borderId="17" xfId="0" applyFont="1" applyFill="1" applyBorder="1" applyAlignment="1">
      <alignment vertical="center"/>
    </xf>
    <xf numFmtId="0" fontId="7" fillId="2" borderId="6" xfId="0" applyFont="1" applyFill="1" applyBorder="1" applyAlignment="1">
      <alignment horizontal="center" vertical="center"/>
    </xf>
    <xf numFmtId="0" fontId="7" fillId="2" borderId="18" xfId="0" applyFont="1" applyFill="1" applyBorder="1" applyAlignment="1">
      <alignment horizontal="center" vertical="center"/>
    </xf>
    <xf numFmtId="0" fontId="7" fillId="3" borderId="20" xfId="0" applyFont="1" applyFill="1" applyBorder="1" applyAlignment="1">
      <alignment vertical="center"/>
    </xf>
    <xf numFmtId="0" fontId="7" fillId="0" borderId="20" xfId="0" applyFont="1" applyBorder="1" applyAlignment="1">
      <alignment horizontal="center" vertical="center" wrapText="1"/>
    </xf>
    <xf numFmtId="0" fontId="7" fillId="2" borderId="1" xfId="1" applyFont="1" applyFill="1" applyBorder="1">
      <alignment vertical="center"/>
    </xf>
    <xf numFmtId="0" fontId="7" fillId="2" borderId="1" xfId="1" applyFont="1" applyFill="1" applyBorder="1" applyAlignment="1">
      <alignment horizontal="center" vertical="center" wrapText="1"/>
    </xf>
    <xf numFmtId="0" fontId="23" fillId="5" borderId="1" xfId="1" applyFont="1" applyFill="1" applyBorder="1" applyAlignment="1">
      <alignment horizontal="center" vertical="center"/>
    </xf>
    <xf numFmtId="44" fontId="24" fillId="2" borderId="1" xfId="2" applyFont="1" applyFill="1" applyBorder="1">
      <alignment vertical="center"/>
    </xf>
    <xf numFmtId="0" fontId="24" fillId="5" borderId="1" xfId="1" applyFont="1" applyFill="1" applyBorder="1" applyAlignment="1">
      <alignment horizontal="center" vertical="center"/>
    </xf>
    <xf numFmtId="0" fontId="25" fillId="0" borderId="0" xfId="1" applyFont="1" applyAlignment="1">
      <alignment horizontal="center" vertical="center"/>
    </xf>
    <xf numFmtId="0" fontId="23" fillId="3" borderId="1" xfId="1" applyFont="1" applyFill="1" applyBorder="1">
      <alignment vertical="center"/>
    </xf>
    <xf numFmtId="44" fontId="23" fillId="3" borderId="1" xfId="2" applyFont="1" applyFill="1" applyBorder="1">
      <alignment vertical="center"/>
    </xf>
    <xf numFmtId="0" fontId="23" fillId="0" borderId="1" xfId="1" applyFont="1" applyBorder="1">
      <alignment vertical="center"/>
    </xf>
    <xf numFmtId="0" fontId="2" fillId="0" borderId="0" xfId="1" applyAlignment="1"/>
    <xf numFmtId="0" fontId="12" fillId="0" borderId="1" xfId="1" applyFont="1" applyBorder="1" applyAlignment="1">
      <alignment horizontal="center" vertical="center"/>
    </xf>
    <xf numFmtId="0" fontId="12" fillId="0" borderId="1" xfId="1" applyFont="1" applyBorder="1" applyAlignment="1">
      <alignment horizontal="left" vertical="center"/>
    </xf>
    <xf numFmtId="0" fontId="12" fillId="0" borderId="1" xfId="1" applyFont="1" applyBorder="1" applyAlignment="1"/>
    <xf numFmtId="0" fontId="2" fillId="0" borderId="0" xfId="1" applyAlignment="1">
      <alignment horizontal="left" vertical="center"/>
    </xf>
    <xf numFmtId="0" fontId="0" fillId="3" borderId="0" xfId="0" applyFill="1"/>
    <xf numFmtId="0" fontId="2" fillId="3" borderId="0" xfId="1" applyFill="1">
      <alignment vertical="center"/>
    </xf>
    <xf numFmtId="0" fontId="7" fillId="3" borderId="0" xfId="1" applyFont="1" applyFill="1" applyAlignment="1">
      <alignment horizontal="left"/>
    </xf>
    <xf numFmtId="14" fontId="9" fillId="3" borderId="0" xfId="0" applyNumberFormat="1" applyFont="1" applyFill="1"/>
    <xf numFmtId="0" fontId="9" fillId="3" borderId="0" xfId="0" applyFont="1" applyFill="1"/>
    <xf numFmtId="0" fontId="7" fillId="3" borderId="0" xfId="1" applyFont="1" applyFill="1">
      <alignment vertical="center"/>
    </xf>
    <xf numFmtId="14" fontId="2" fillId="3" borderId="0" xfId="1" applyNumberFormat="1" applyFill="1">
      <alignment vertical="center"/>
    </xf>
    <xf numFmtId="0" fontId="6" fillId="3" borderId="0" xfId="1" applyFont="1" applyFill="1">
      <alignment vertical="center"/>
    </xf>
    <xf numFmtId="2" fontId="0" fillId="3" borderId="0" xfId="0" applyNumberFormat="1" applyFill="1"/>
    <xf numFmtId="0" fontId="12" fillId="0" borderId="1" xfId="0" applyFont="1" applyBorder="1" applyAlignment="1">
      <alignment horizontal="center" vertical="center"/>
    </xf>
    <xf numFmtId="0" fontId="27" fillId="0" borderId="1" xfId="0" applyFont="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horizontal="left" vertical="center"/>
    </xf>
    <xf numFmtId="178" fontId="7" fillId="3" borderId="0" xfId="1" applyNumberFormat="1" applyFont="1" applyFill="1">
      <alignment vertical="center"/>
    </xf>
    <xf numFmtId="181" fontId="7" fillId="3" borderId="0" xfId="1" applyNumberFormat="1" applyFont="1" applyFill="1">
      <alignment vertical="center"/>
    </xf>
    <xf numFmtId="2" fontId="28" fillId="3" borderId="0" xfId="0" applyNumberFormat="1" applyFont="1" applyFill="1"/>
    <xf numFmtId="0" fontId="28" fillId="3" borderId="0" xfId="0" applyFont="1" applyFill="1"/>
    <xf numFmtId="183" fontId="14" fillId="0" borderId="1" xfId="0" applyNumberFormat="1" applyFont="1" applyBorder="1" applyAlignment="1">
      <alignment horizontal="center" vertical="center"/>
    </xf>
    <xf numFmtId="0" fontId="2" fillId="6" borderId="0" xfId="1" applyFill="1">
      <alignment vertical="center"/>
    </xf>
    <xf numFmtId="0" fontId="0" fillId="6" borderId="0" xfId="0" applyFill="1"/>
    <xf numFmtId="14" fontId="2" fillId="6" borderId="0" xfId="1" applyNumberFormat="1" applyFill="1">
      <alignment vertical="center"/>
    </xf>
    <xf numFmtId="0" fontId="6" fillId="6" borderId="0" xfId="1" applyFont="1" applyFill="1">
      <alignment vertical="center"/>
    </xf>
    <xf numFmtId="179" fontId="2" fillId="6" borderId="0" xfId="1" applyNumberFormat="1" applyFill="1">
      <alignment vertical="center"/>
    </xf>
    <xf numFmtId="178" fontId="2" fillId="6" borderId="0" xfId="1" applyNumberFormat="1" applyFill="1">
      <alignment vertical="center"/>
    </xf>
    <xf numFmtId="178" fontId="11" fillId="6" borderId="0" xfId="1" applyNumberFormat="1" applyFont="1" applyFill="1">
      <alignment vertical="center"/>
    </xf>
    <xf numFmtId="0" fontId="12" fillId="0" borderId="1" xfId="0" applyFont="1" applyBorder="1" applyAlignment="1">
      <alignment horizontal="center" vertical="center" wrapText="1"/>
    </xf>
    <xf numFmtId="2" fontId="12" fillId="0" borderId="1" xfId="0" applyNumberFormat="1" applyFont="1" applyBorder="1" applyAlignment="1">
      <alignment horizontal="center" vertical="center"/>
    </xf>
    <xf numFmtId="0" fontId="12" fillId="0" borderId="1" xfId="0" applyFont="1" applyBorder="1"/>
    <xf numFmtId="0" fontId="12" fillId="0" borderId="1" xfId="0" applyFont="1" applyBorder="1" applyAlignment="1">
      <alignment horizontal="left"/>
    </xf>
    <xf numFmtId="0" fontId="15" fillId="0" borderId="1" xfId="1" applyFont="1" applyBorder="1" applyAlignment="1">
      <alignment horizontal="center" vertical="center"/>
    </xf>
    <xf numFmtId="0" fontId="14" fillId="0" borderId="1" xfId="1" applyFont="1" applyBorder="1" applyAlignment="1">
      <alignment horizontal="center" vertical="center"/>
    </xf>
    <xf numFmtId="0" fontId="29" fillId="0" borderId="1" xfId="1" applyFont="1" applyBorder="1" applyAlignment="1">
      <alignment horizontal="center" vertical="center"/>
    </xf>
    <xf numFmtId="0" fontId="30" fillId="0" borderId="1" xfId="1" applyFont="1" applyBorder="1" applyAlignment="1">
      <alignment horizontal="center" vertical="center"/>
    </xf>
    <xf numFmtId="0" fontId="31" fillId="2" borderId="1" xfId="1" applyFont="1" applyFill="1" applyBorder="1" applyAlignment="1">
      <alignment horizontal="center" vertical="center" wrapText="1"/>
    </xf>
    <xf numFmtId="176" fontId="31" fillId="2" borderId="1" xfId="1" applyNumberFormat="1" applyFont="1" applyFill="1" applyBorder="1" applyAlignment="1">
      <alignment horizontal="center" vertical="center" wrapText="1"/>
    </xf>
    <xf numFmtId="0" fontId="30" fillId="0" borderId="1" xfId="1" applyFont="1" applyBorder="1" applyAlignment="1">
      <alignment horizontal="center" vertical="center" wrapText="1"/>
    </xf>
    <xf numFmtId="0" fontId="32" fillId="2" borderId="1" xfId="1" applyFont="1" applyFill="1" applyBorder="1" applyAlignment="1">
      <alignment horizontal="center" vertical="center" wrapText="1"/>
    </xf>
    <xf numFmtId="176" fontId="30" fillId="3" borderId="1" xfId="1" applyNumberFormat="1" applyFont="1" applyFill="1" applyBorder="1" applyAlignment="1">
      <alignment horizontal="center" vertical="center"/>
    </xf>
    <xf numFmtId="2" fontId="32" fillId="2" borderId="1" xfId="1" applyNumberFormat="1" applyFont="1" applyFill="1" applyBorder="1" applyAlignment="1">
      <alignment horizontal="center" vertical="center" wrapText="1"/>
    </xf>
    <xf numFmtId="176" fontId="32" fillId="2" borderId="1" xfId="1" applyNumberFormat="1" applyFont="1" applyFill="1" applyBorder="1" applyAlignment="1">
      <alignment horizontal="center" vertical="center" wrapText="1"/>
    </xf>
    <xf numFmtId="176" fontId="30" fillId="0" borderId="1" xfId="1" applyNumberFormat="1" applyFont="1" applyBorder="1" applyAlignment="1">
      <alignment horizontal="center" vertical="center"/>
    </xf>
    <xf numFmtId="0" fontId="30" fillId="0" borderId="1" xfId="1" applyFont="1" applyBorder="1">
      <alignment vertical="center"/>
    </xf>
    <xf numFmtId="0" fontId="15" fillId="0" borderId="1" xfId="1" applyFont="1" applyBorder="1" applyAlignment="1">
      <alignment horizontal="left" vertical="center"/>
    </xf>
    <xf numFmtId="0" fontId="14" fillId="0" borderId="1" xfId="1" applyFont="1" applyBorder="1" applyAlignment="1">
      <alignment horizontal="left" vertical="center"/>
    </xf>
    <xf numFmtId="0" fontId="30" fillId="0" borderId="1" xfId="1" applyFont="1" applyBorder="1" applyAlignment="1">
      <alignment horizontal="left" vertical="top" wrapText="1"/>
    </xf>
    <xf numFmtId="0" fontId="30" fillId="0" borderId="5" xfId="1" applyFont="1" applyBorder="1" applyAlignment="1">
      <alignment horizontal="center"/>
    </xf>
    <xf numFmtId="0" fontId="30" fillId="0" borderId="4" xfId="1" applyFont="1" applyBorder="1" applyAlignment="1">
      <alignment horizontal="center"/>
    </xf>
    <xf numFmtId="0" fontId="30" fillId="0" borderId="3" xfId="1" applyFont="1" applyBorder="1" applyAlignment="1">
      <alignment horizontal="center"/>
    </xf>
    <xf numFmtId="0" fontId="14" fillId="0" borderId="5" xfId="1" applyFont="1" applyBorder="1" applyAlignment="1">
      <alignment horizontal="left" vertical="center"/>
    </xf>
    <xf numFmtId="0" fontId="14" fillId="0" borderId="4" xfId="1" applyFont="1" applyBorder="1" applyAlignment="1">
      <alignment horizontal="left" vertical="center"/>
    </xf>
    <xf numFmtId="0" fontId="14" fillId="0" borderId="3" xfId="1" applyFont="1" applyBorder="1" applyAlignment="1">
      <alignment horizontal="left" vertical="center"/>
    </xf>
    <xf numFmtId="0" fontId="7" fillId="2" borderId="19"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2" borderId="1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4"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5" xfId="0" applyFont="1" applyFill="1" applyBorder="1" applyAlignment="1">
      <alignment horizontal="center" vertical="center" wrapText="1"/>
    </xf>
    <xf numFmtId="0" fontId="7" fillId="2" borderId="11"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0" borderId="19" xfId="0" applyFont="1" applyBorder="1" applyAlignment="1">
      <alignment horizontal="center" vertical="center" wrapText="1"/>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7" fillId="0" borderId="18" xfId="0" applyFont="1" applyBorder="1" applyAlignment="1">
      <alignment horizontal="center" vertical="center" wrapText="1"/>
    </xf>
    <xf numFmtId="0" fontId="7" fillId="0" borderId="15" xfId="0" applyFont="1" applyBorder="1" applyAlignment="1">
      <alignment horizontal="center" vertical="center" wrapText="1"/>
    </xf>
    <xf numFmtId="0" fontId="11" fillId="0" borderId="26" xfId="0" applyFont="1" applyBorder="1" applyAlignment="1">
      <alignment horizontal="left" vertical="top" wrapText="1"/>
    </xf>
    <xf numFmtId="0" fontId="11" fillId="0" borderId="11" xfId="0" applyFont="1" applyBorder="1" applyAlignment="1">
      <alignment horizontal="left" vertical="top" wrapText="1"/>
    </xf>
    <xf numFmtId="0" fontId="11" fillId="0" borderId="10" xfId="0" applyFont="1" applyBorder="1" applyAlignment="1">
      <alignment horizontal="left" vertical="top" wrapText="1"/>
    </xf>
    <xf numFmtId="0" fontId="22" fillId="0" borderId="25" xfId="0" applyFont="1" applyBorder="1" applyAlignment="1">
      <alignment horizontal="center" vertical="center"/>
    </xf>
    <xf numFmtId="0" fontId="22" fillId="0" borderId="24" xfId="0" applyFont="1" applyBorder="1" applyAlignment="1">
      <alignment horizontal="center" vertical="center"/>
    </xf>
    <xf numFmtId="0" fontId="22" fillId="0" borderId="23" xfId="0" applyFont="1" applyBorder="1" applyAlignment="1">
      <alignment horizontal="center" vertical="center"/>
    </xf>
    <xf numFmtId="0" fontId="21" fillId="0" borderId="22" xfId="0" applyFont="1" applyBorder="1" applyAlignment="1">
      <alignment horizontal="center" vertical="center"/>
    </xf>
    <xf numFmtId="0" fontId="21" fillId="0" borderId="1" xfId="0" applyFont="1" applyBorder="1" applyAlignment="1">
      <alignment horizontal="center" vertical="center"/>
    </xf>
    <xf numFmtId="0" fontId="21" fillId="0" borderId="4" xfId="0" applyFont="1" applyBorder="1" applyAlignment="1">
      <alignment horizontal="left" vertical="center" wrapText="1"/>
    </xf>
    <xf numFmtId="0" fontId="21" fillId="0" borderId="4" xfId="0" applyFont="1" applyBorder="1" applyAlignment="1">
      <alignment horizontal="left" vertical="center"/>
    </xf>
    <xf numFmtId="0" fontId="21" fillId="0" borderId="21" xfId="0" applyFont="1" applyBorder="1" applyAlignment="1">
      <alignment horizontal="left" vertical="center"/>
    </xf>
    <xf numFmtId="0" fontId="2" fillId="0" borderId="1" xfId="0" applyFont="1" applyBorder="1" applyAlignment="1">
      <alignment horizontal="center" vertical="center"/>
    </xf>
    <xf numFmtId="0" fontId="5" fillId="4" borderId="5" xfId="0" applyFont="1" applyFill="1" applyBorder="1" applyAlignment="1">
      <alignment horizontal="center" vertical="center"/>
    </xf>
    <xf numFmtId="0" fontId="5" fillId="4" borderId="3" xfId="0" applyFont="1" applyFill="1" applyBorder="1" applyAlignment="1">
      <alignment horizontal="center" vertical="center"/>
    </xf>
    <xf numFmtId="0" fontId="0" fillId="0" borderId="5" xfId="0"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center" vertical="center"/>
    </xf>
    <xf numFmtId="0" fontId="5" fillId="4" borderId="5" xfId="1" applyFont="1" applyFill="1" applyBorder="1" applyAlignment="1">
      <alignment horizontal="center" vertical="center"/>
    </xf>
    <xf numFmtId="0" fontId="5" fillId="4" borderId="3" xfId="1" applyFont="1" applyFill="1" applyBorder="1" applyAlignment="1">
      <alignment horizontal="center" vertical="center"/>
    </xf>
    <xf numFmtId="0" fontId="2" fillId="0" borderId="1" xfId="1" applyBorder="1" applyAlignment="1">
      <alignment horizontal="center" vertical="center"/>
    </xf>
    <xf numFmtId="0" fontId="2" fillId="0" borderId="5" xfId="1" applyBorder="1" applyAlignment="1">
      <alignment horizontal="center" vertical="center"/>
    </xf>
    <xf numFmtId="0" fontId="6" fillId="0" borderId="1" xfId="1" applyFont="1" applyBorder="1" applyAlignment="1">
      <alignment horizontal="left" vertical="center" wrapText="1"/>
    </xf>
    <xf numFmtId="0" fontId="2" fillId="0" borderId="1" xfId="1" applyBorder="1" applyAlignment="1">
      <alignment horizontal="left" vertical="center" wrapText="1"/>
    </xf>
    <xf numFmtId="0" fontId="26" fillId="0" borderId="5" xfId="1" applyFont="1" applyBorder="1" applyAlignment="1">
      <alignment horizontal="center" vertical="center"/>
    </xf>
    <xf numFmtId="0" fontId="26" fillId="0" borderId="4" xfId="1" applyFont="1" applyBorder="1" applyAlignment="1">
      <alignment horizontal="center" vertical="center"/>
    </xf>
    <xf numFmtId="0" fontId="26" fillId="0" borderId="3" xfId="1" applyFont="1" applyBorder="1" applyAlignment="1">
      <alignment horizontal="center" vertical="center"/>
    </xf>
    <xf numFmtId="0" fontId="26" fillId="0" borderId="27" xfId="0" applyFont="1" applyBorder="1" applyAlignment="1">
      <alignment horizontal="center" vertical="center"/>
    </xf>
    <xf numFmtId="0" fontId="26" fillId="0" borderId="28" xfId="0" applyFont="1" applyBorder="1" applyAlignment="1">
      <alignment horizontal="center" vertical="center"/>
    </xf>
  </cellXfs>
  <cellStyles count="3">
    <cellStyle name="常规" xfId="0" builtinId="0"/>
    <cellStyle name="常规 2" xfId="1" xr:uid="{00000000-0005-0000-0000-000001000000}"/>
    <cellStyle name="货币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19"/>
  <sheetViews>
    <sheetView tabSelected="1" topLeftCell="A4" workbookViewId="0">
      <selection activeCell="B8" sqref="B8"/>
    </sheetView>
  </sheetViews>
  <sheetFormatPr defaultColWidth="8.6640625" defaultRowHeight="13.8" x14ac:dyDescent="0.25"/>
  <cols>
    <col min="1" max="1" width="32.109375" style="1" customWidth="1"/>
    <col min="2" max="2" width="41.44140625" style="1" customWidth="1"/>
    <col min="3" max="3" width="5.44140625" style="1" customWidth="1"/>
    <col min="4" max="4" width="8.109375" style="1" customWidth="1"/>
    <col min="5" max="5" width="11.44140625" style="1" customWidth="1"/>
    <col min="6" max="6" width="14.77734375" style="1" customWidth="1"/>
    <col min="7" max="7" width="17.5546875" style="1" bestFit="1" customWidth="1"/>
    <col min="8" max="8" width="73.33203125" style="102" customWidth="1"/>
    <col min="9" max="16384" width="8.6640625" style="1"/>
  </cols>
  <sheetData>
    <row r="3" spans="1:8" ht="30" customHeight="1" x14ac:dyDescent="0.25">
      <c r="A3" s="94" t="s">
        <v>509</v>
      </c>
      <c r="B3" s="94" t="s">
        <v>509</v>
      </c>
      <c r="D3" s="132" t="s">
        <v>574</v>
      </c>
      <c r="E3" s="132" t="s">
        <v>488</v>
      </c>
      <c r="F3" s="132" t="s">
        <v>487</v>
      </c>
      <c r="G3" s="132" t="s">
        <v>573</v>
      </c>
      <c r="H3" s="145" t="s">
        <v>494</v>
      </c>
    </row>
    <row r="4" spans="1:8" ht="30" customHeight="1" x14ac:dyDescent="0.25">
      <c r="A4" s="2"/>
      <c r="D4" s="133">
        <v>1</v>
      </c>
      <c r="E4" s="133" t="s">
        <v>423</v>
      </c>
      <c r="F4" s="133" t="s">
        <v>424</v>
      </c>
      <c r="G4" s="133" t="s">
        <v>577</v>
      </c>
      <c r="H4" s="146" t="s">
        <v>586</v>
      </c>
    </row>
    <row r="5" spans="1:8" ht="30" customHeight="1" x14ac:dyDescent="0.25">
      <c r="A5" s="93" t="s">
        <v>508</v>
      </c>
      <c r="B5" s="92">
        <f>SUM(B6:B8)</f>
        <v>0</v>
      </c>
      <c r="D5" s="133">
        <v>2</v>
      </c>
      <c r="E5" s="133" t="s">
        <v>423</v>
      </c>
      <c r="F5" s="133" t="s">
        <v>426</v>
      </c>
      <c r="G5" s="133" t="s">
        <v>578</v>
      </c>
      <c r="H5" s="146" t="s">
        <v>587</v>
      </c>
    </row>
    <row r="6" spans="1:8" ht="30" customHeight="1" x14ac:dyDescent="0.25">
      <c r="A6" s="91" t="s">
        <v>507</v>
      </c>
      <c r="B6" s="95">
        <f>'报价标-仓营'!I6</f>
        <v>0</v>
      </c>
      <c r="D6" s="133">
        <v>3</v>
      </c>
      <c r="E6" s="133" t="s">
        <v>423</v>
      </c>
      <c r="F6" s="133" t="s">
        <v>431</v>
      </c>
      <c r="G6" s="133" t="s">
        <v>577</v>
      </c>
      <c r="H6" s="146" t="s">
        <v>588</v>
      </c>
    </row>
    <row r="7" spans="1:8" ht="30" customHeight="1" x14ac:dyDescent="0.25">
      <c r="A7" s="91" t="s">
        <v>506</v>
      </c>
      <c r="B7" s="96">
        <f>配送费用汇总!G15</f>
        <v>0</v>
      </c>
      <c r="D7" s="133">
        <v>4</v>
      </c>
      <c r="E7" s="133" t="s">
        <v>423</v>
      </c>
      <c r="F7" s="133" t="s">
        <v>475</v>
      </c>
      <c r="G7" s="133" t="s">
        <v>582</v>
      </c>
      <c r="H7" s="146" t="s">
        <v>589</v>
      </c>
    </row>
    <row r="8" spans="1:8" ht="30" customHeight="1" x14ac:dyDescent="0.25">
      <c r="A8" s="91" t="s">
        <v>505</v>
      </c>
      <c r="B8" s="96">
        <f>'报价表-装卸'!G15</f>
        <v>0</v>
      </c>
      <c r="D8" s="133">
        <v>5</v>
      </c>
      <c r="E8" s="133" t="s">
        <v>423</v>
      </c>
      <c r="F8" s="133" t="s">
        <v>428</v>
      </c>
      <c r="G8" s="133" t="s">
        <v>577</v>
      </c>
      <c r="H8" s="146" t="s">
        <v>588</v>
      </c>
    </row>
    <row r="9" spans="1:8" ht="30" customHeight="1" x14ac:dyDescent="0.25">
      <c r="A9" s="91" t="s">
        <v>504</v>
      </c>
      <c r="B9" s="97" t="s">
        <v>510</v>
      </c>
      <c r="D9" s="133">
        <v>6</v>
      </c>
      <c r="E9" s="133" t="s">
        <v>423</v>
      </c>
      <c r="F9" s="133" t="s">
        <v>429</v>
      </c>
      <c r="G9" s="133" t="s">
        <v>579</v>
      </c>
      <c r="H9" s="146" t="s">
        <v>590</v>
      </c>
    </row>
    <row r="10" spans="1:8" ht="30" customHeight="1" x14ac:dyDescent="0.25">
      <c r="A10" s="90" t="s">
        <v>503</v>
      </c>
      <c r="B10" s="89" t="s">
        <v>502</v>
      </c>
      <c r="D10" s="133">
        <v>7</v>
      </c>
      <c r="E10" s="133" t="s">
        <v>423</v>
      </c>
      <c r="F10" s="133" t="s">
        <v>430</v>
      </c>
      <c r="G10" s="133" t="s">
        <v>577</v>
      </c>
      <c r="H10" s="146" t="s">
        <v>588</v>
      </c>
    </row>
    <row r="11" spans="1:8" ht="30" customHeight="1" x14ac:dyDescent="0.25">
      <c r="D11" s="133">
        <v>8</v>
      </c>
      <c r="E11" s="133" t="s">
        <v>432</v>
      </c>
      <c r="F11" s="133" t="s">
        <v>433</v>
      </c>
      <c r="G11" s="133" t="s">
        <v>577</v>
      </c>
      <c r="H11" s="146" t="s">
        <v>588</v>
      </c>
    </row>
    <row r="12" spans="1:8" ht="30" customHeight="1" x14ac:dyDescent="0.25">
      <c r="D12" s="133">
        <v>9</v>
      </c>
      <c r="E12" s="133" t="s">
        <v>432</v>
      </c>
      <c r="F12" s="133" t="s">
        <v>435</v>
      </c>
      <c r="G12" s="133" t="s">
        <v>577</v>
      </c>
      <c r="H12" s="146" t="s">
        <v>591</v>
      </c>
    </row>
    <row r="13" spans="1:8" ht="30" customHeight="1" x14ac:dyDescent="0.25">
      <c r="D13" s="133">
        <v>10</v>
      </c>
      <c r="E13" s="133" t="s">
        <v>432</v>
      </c>
      <c r="F13" s="133" t="s">
        <v>434</v>
      </c>
      <c r="G13" s="133" t="s">
        <v>577</v>
      </c>
      <c r="H13" s="146" t="s">
        <v>588</v>
      </c>
    </row>
    <row r="14" spans="1:8" ht="30" customHeight="1" x14ac:dyDescent="0.25">
      <c r="D14" s="133">
        <v>11</v>
      </c>
      <c r="E14" s="133" t="s">
        <v>432</v>
      </c>
      <c r="F14" s="133" t="s">
        <v>472</v>
      </c>
      <c r="G14" s="133" t="s">
        <v>581</v>
      </c>
      <c r="H14" s="146" t="s">
        <v>583</v>
      </c>
    </row>
    <row r="15" spans="1:8" ht="30" customHeight="1" x14ac:dyDescent="0.25">
      <c r="D15" s="133">
        <v>12</v>
      </c>
      <c r="E15" s="133" t="s">
        <v>432</v>
      </c>
      <c r="F15" s="133" t="s">
        <v>436</v>
      </c>
      <c r="G15" s="133" t="s">
        <v>577</v>
      </c>
      <c r="H15" s="146" t="s">
        <v>591</v>
      </c>
    </row>
    <row r="16" spans="1:8" ht="30" customHeight="1" x14ac:dyDescent="0.25">
      <c r="D16" s="133">
        <v>13</v>
      </c>
      <c r="E16" s="133" t="s">
        <v>437</v>
      </c>
      <c r="F16" s="133" t="s">
        <v>438</v>
      </c>
      <c r="G16" s="133" t="s">
        <v>580</v>
      </c>
      <c r="H16" s="146" t="s">
        <v>592</v>
      </c>
    </row>
    <row r="17" spans="4:8" ht="30" customHeight="1" x14ac:dyDescent="0.25">
      <c r="D17" s="133">
        <v>14</v>
      </c>
      <c r="E17" s="133" t="s">
        <v>439</v>
      </c>
      <c r="F17" s="133" t="s">
        <v>440</v>
      </c>
      <c r="G17" s="133" t="s">
        <v>577</v>
      </c>
      <c r="H17" s="146" t="s">
        <v>588</v>
      </c>
    </row>
    <row r="18" spans="4:8" ht="30" customHeight="1" x14ac:dyDescent="0.25">
      <c r="D18" s="133">
        <v>15</v>
      </c>
      <c r="E18" s="133" t="s">
        <v>439</v>
      </c>
      <c r="F18" s="133" t="s">
        <v>441</v>
      </c>
      <c r="G18" s="133" t="s">
        <v>577</v>
      </c>
      <c r="H18" s="146" t="s">
        <v>593</v>
      </c>
    </row>
    <row r="19" spans="4:8" ht="22.05" customHeight="1" x14ac:dyDescent="0.25">
      <c r="D19" s="151" t="s">
        <v>594</v>
      </c>
      <c r="E19" s="152"/>
      <c r="F19" s="152"/>
      <c r="G19" s="152"/>
      <c r="H19" s="153"/>
    </row>
  </sheetData>
  <sheetProtection algorithmName="SHA-512" hashValue="ItBqRBLHbBv/WiiPGVGCPs4xLXioBTAjzEFdsk3suaYvR3884lw9hPSa218S9aQfD4q6fxTca8CXe4vM8INclA==" saltValue="OJXGyc5qokw+P+XdcnFgaw==" spinCount="100000" sheet="1" objects="1" scenarios="1"/>
  <mergeCells count="1">
    <mergeCell ref="D19:H19"/>
  </mergeCells>
  <phoneticPr fontId="1"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
  <sheetViews>
    <sheetView topLeftCell="A13" workbookViewId="0">
      <selection activeCell="C3" sqref="C3:K3"/>
    </sheetView>
  </sheetViews>
  <sheetFormatPr defaultRowHeight="13.8" x14ac:dyDescent="0.25"/>
  <sheetData>
    <row r="1" spans="1:11" ht="58.05" customHeight="1" thickBot="1" x14ac:dyDescent="0.3">
      <c r="A1" s="173" t="s">
        <v>575</v>
      </c>
      <c r="B1" s="174"/>
      <c r="C1" s="174"/>
      <c r="D1" s="174"/>
      <c r="E1" s="174"/>
      <c r="F1" s="174"/>
      <c r="G1" s="174"/>
      <c r="H1" s="174"/>
      <c r="I1" s="174"/>
      <c r="J1" s="174"/>
      <c r="K1" s="175"/>
    </row>
    <row r="2" spans="1:11" ht="15.6" x14ac:dyDescent="0.25">
      <c r="A2" s="176" t="s">
        <v>501</v>
      </c>
      <c r="B2" s="177"/>
      <c r="C2" s="177"/>
      <c r="D2" s="177"/>
      <c r="E2" s="177"/>
      <c r="F2" s="177"/>
      <c r="G2" s="177"/>
      <c r="H2" s="177"/>
      <c r="I2" s="177"/>
      <c r="J2" s="177"/>
      <c r="K2" s="178"/>
    </row>
    <row r="3" spans="1:11" ht="56.4" customHeight="1" x14ac:dyDescent="0.25">
      <c r="A3" s="179" t="s">
        <v>500</v>
      </c>
      <c r="B3" s="180"/>
      <c r="C3" s="181" t="s">
        <v>596</v>
      </c>
      <c r="D3" s="182"/>
      <c r="E3" s="182"/>
      <c r="F3" s="182"/>
      <c r="G3" s="182"/>
      <c r="H3" s="182"/>
      <c r="I3" s="182"/>
      <c r="J3" s="182"/>
      <c r="K3" s="183"/>
    </row>
    <row r="4" spans="1:11" ht="30" customHeight="1" x14ac:dyDescent="0.25">
      <c r="A4" s="166" t="s">
        <v>499</v>
      </c>
      <c r="B4" s="157"/>
      <c r="C4" s="156" t="s">
        <v>498</v>
      </c>
      <c r="D4" s="157"/>
      <c r="E4" s="156" t="s">
        <v>497</v>
      </c>
      <c r="F4" s="157"/>
      <c r="G4" s="156" t="s">
        <v>496</v>
      </c>
      <c r="H4" s="157"/>
      <c r="I4" s="171" t="s">
        <v>495</v>
      </c>
      <c r="J4" s="172"/>
      <c r="K4" s="88" t="s">
        <v>494</v>
      </c>
    </row>
    <row r="5" spans="1:11" ht="25.5" customHeight="1" x14ac:dyDescent="0.25">
      <c r="A5" s="166" t="s">
        <v>493</v>
      </c>
      <c r="B5" s="157"/>
      <c r="C5" s="156">
        <v>3800</v>
      </c>
      <c r="D5" s="157"/>
      <c r="E5" s="167">
        <v>2000</v>
      </c>
      <c r="F5" s="168"/>
      <c r="G5" s="169"/>
      <c r="H5" s="170"/>
      <c r="I5" s="171">
        <f>ROUND((C5+E5)*G5*12,2)</f>
        <v>0</v>
      </c>
      <c r="J5" s="172"/>
      <c r="K5" s="87"/>
    </row>
    <row r="6" spans="1:11" ht="19.95" customHeight="1" x14ac:dyDescent="0.25">
      <c r="A6" s="154" t="s">
        <v>492</v>
      </c>
      <c r="B6" s="155"/>
      <c r="C6" s="86"/>
      <c r="D6" s="85"/>
      <c r="E6" s="85"/>
      <c r="F6" s="85"/>
      <c r="G6" s="85"/>
      <c r="H6" s="85"/>
      <c r="I6" s="156">
        <f>SUM(I5)</f>
        <v>0</v>
      </c>
      <c r="J6" s="157"/>
      <c r="K6" s="84"/>
    </row>
    <row r="7" spans="1:11" ht="52.8" customHeight="1" thickBot="1" x14ac:dyDescent="0.3">
      <c r="A7" s="158" t="s">
        <v>491</v>
      </c>
      <c r="B7" s="159"/>
      <c r="C7" s="160" t="s">
        <v>490</v>
      </c>
      <c r="D7" s="161"/>
      <c r="E7" s="161"/>
      <c r="F7" s="161"/>
      <c r="G7" s="161"/>
      <c r="H7" s="161"/>
      <c r="I7" s="161"/>
      <c r="J7" s="161"/>
      <c r="K7" s="162"/>
    </row>
    <row r="8" spans="1:11" ht="109.5" customHeight="1" thickBot="1" x14ac:dyDescent="0.3">
      <c r="A8" s="163" t="s">
        <v>489</v>
      </c>
      <c r="B8" s="155"/>
      <c r="C8" s="164" t="s">
        <v>584</v>
      </c>
      <c r="D8" s="164"/>
      <c r="E8" s="164"/>
      <c r="F8" s="164"/>
      <c r="G8" s="164"/>
      <c r="H8" s="164"/>
      <c r="I8" s="164"/>
      <c r="J8" s="164"/>
      <c r="K8" s="165"/>
    </row>
  </sheetData>
  <protectedRanges>
    <protectedRange sqref="G5:H5 K5" name="区域1"/>
  </protectedRanges>
  <mergeCells count="20">
    <mergeCell ref="A1:K1"/>
    <mergeCell ref="A2:K2"/>
    <mergeCell ref="A3:B3"/>
    <mergeCell ref="C3:K3"/>
    <mergeCell ref="A4:B4"/>
    <mergeCell ref="C4:D4"/>
    <mergeCell ref="E4:F4"/>
    <mergeCell ref="G4:H4"/>
    <mergeCell ref="I4:J4"/>
    <mergeCell ref="A5:B5"/>
    <mergeCell ref="C5:D5"/>
    <mergeCell ref="E5:F5"/>
    <mergeCell ref="G5:H5"/>
    <mergeCell ref="I5:J5"/>
    <mergeCell ref="A6:B6"/>
    <mergeCell ref="I6:J6"/>
    <mergeCell ref="A7:B7"/>
    <mergeCell ref="C7:K7"/>
    <mergeCell ref="A8:B8"/>
    <mergeCell ref="C8:K8"/>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5"/>
  <sheetViews>
    <sheetView workbookViewId="0">
      <selection activeCell="E11" sqref="E11"/>
    </sheetView>
  </sheetViews>
  <sheetFormatPr defaultRowHeight="13.8" x14ac:dyDescent="0.25"/>
  <cols>
    <col min="1" max="1" width="6.21875" customWidth="1"/>
    <col min="3" max="3" width="12.44140625" customWidth="1"/>
    <col min="5" max="5" width="17.21875" customWidth="1"/>
    <col min="7" max="7" width="8.6640625" style="62" customWidth="1"/>
    <col min="9" max="9" width="10.33203125" customWidth="1"/>
  </cols>
  <sheetData>
    <row r="1" spans="1:10" ht="46.8" x14ac:dyDescent="0.25">
      <c r="A1" s="65" t="s">
        <v>9</v>
      </c>
      <c r="B1" s="66" t="s">
        <v>85</v>
      </c>
      <c r="C1" s="66" t="s">
        <v>420</v>
      </c>
      <c r="D1" s="67" t="s">
        <v>576</v>
      </c>
      <c r="E1" s="66" t="s">
        <v>569</v>
      </c>
      <c r="F1" s="65" t="s">
        <v>570</v>
      </c>
      <c r="G1" s="65" t="s">
        <v>542</v>
      </c>
      <c r="H1" s="65" t="s">
        <v>421</v>
      </c>
      <c r="I1" s="65" t="s">
        <v>422</v>
      </c>
    </row>
    <row r="2" spans="1:10" ht="15.6" x14ac:dyDescent="0.25">
      <c r="A2" s="68">
        <v>1</v>
      </c>
      <c r="B2" s="68" t="s">
        <v>423</v>
      </c>
      <c r="C2" s="68" t="s">
        <v>424</v>
      </c>
      <c r="D2" s="68" t="s">
        <v>585</v>
      </c>
      <c r="E2" s="133" t="s">
        <v>572</v>
      </c>
      <c r="F2" s="70">
        <v>2234.8760429197996</v>
      </c>
      <c r="G2" s="120">
        <f>'报价表-配送'!C7</f>
        <v>0</v>
      </c>
      <c r="H2" s="68" t="s">
        <v>425</v>
      </c>
      <c r="I2" s="68"/>
      <c r="J2" s="72"/>
    </row>
    <row r="3" spans="1:10" ht="15.6" x14ac:dyDescent="0.25">
      <c r="A3" s="68">
        <v>2</v>
      </c>
      <c r="B3" s="68" t="s">
        <v>423</v>
      </c>
      <c r="C3" s="68" t="s">
        <v>426</v>
      </c>
      <c r="D3" s="68" t="s">
        <v>585</v>
      </c>
      <c r="E3" s="69">
        <v>46235</v>
      </c>
      <c r="F3" s="70">
        <v>2346.6994207783791</v>
      </c>
      <c r="G3" s="120">
        <f>'报价表-配送'!C14</f>
        <v>0</v>
      </c>
      <c r="H3" s="68" t="s">
        <v>427</v>
      </c>
      <c r="I3" s="68"/>
    </row>
    <row r="4" spans="1:10" ht="15.6" x14ac:dyDescent="0.25">
      <c r="A4" s="68">
        <v>3</v>
      </c>
      <c r="B4" s="68" t="s">
        <v>423</v>
      </c>
      <c r="C4" s="68" t="s">
        <v>428</v>
      </c>
      <c r="D4" s="68" t="s">
        <v>585</v>
      </c>
      <c r="E4" s="69">
        <v>46236</v>
      </c>
      <c r="F4" s="70">
        <v>323.7002774558099</v>
      </c>
      <c r="G4" s="120">
        <f>'报价表-配送'!C22</f>
        <v>0</v>
      </c>
      <c r="H4" s="68" t="s">
        <v>427</v>
      </c>
      <c r="I4" s="68"/>
    </row>
    <row r="5" spans="1:10" ht="15.6" x14ac:dyDescent="0.25">
      <c r="A5" s="68">
        <v>4</v>
      </c>
      <c r="B5" s="68" t="s">
        <v>423</v>
      </c>
      <c r="C5" s="68" t="s">
        <v>429</v>
      </c>
      <c r="D5" s="68" t="s">
        <v>585</v>
      </c>
      <c r="E5" s="69">
        <v>46237</v>
      </c>
      <c r="F5" s="70">
        <v>141.89567679580003</v>
      </c>
      <c r="G5" s="120">
        <f>'报价表-配送'!C30</f>
        <v>0</v>
      </c>
      <c r="H5" s="68" t="s">
        <v>427</v>
      </c>
      <c r="I5" s="68"/>
    </row>
    <row r="6" spans="1:10" ht="15.6" x14ac:dyDescent="0.25">
      <c r="A6" s="68">
        <v>5</v>
      </c>
      <c r="B6" s="68" t="s">
        <v>423</v>
      </c>
      <c r="C6" s="68" t="s">
        <v>430</v>
      </c>
      <c r="D6" s="68" t="s">
        <v>585</v>
      </c>
      <c r="E6" s="69">
        <v>46238</v>
      </c>
      <c r="F6" s="70">
        <v>791.06665572324584</v>
      </c>
      <c r="G6" s="120">
        <f>'报价表-配送'!C38</f>
        <v>0</v>
      </c>
      <c r="H6" s="68" t="s">
        <v>427</v>
      </c>
      <c r="I6" s="68"/>
    </row>
    <row r="7" spans="1:10" ht="15.6" x14ac:dyDescent="0.25">
      <c r="A7" s="68">
        <v>6</v>
      </c>
      <c r="B7" s="68" t="s">
        <v>423</v>
      </c>
      <c r="C7" s="68" t="s">
        <v>431</v>
      </c>
      <c r="D7" s="68" t="s">
        <v>585</v>
      </c>
      <c r="E7" s="69">
        <v>46239</v>
      </c>
      <c r="F7" s="70">
        <v>193.95522999745998</v>
      </c>
      <c r="G7" s="120">
        <f>'报价表-配送'!C45</f>
        <v>0</v>
      </c>
      <c r="H7" s="68" t="s">
        <v>427</v>
      </c>
      <c r="I7" s="68"/>
    </row>
    <row r="8" spans="1:10" ht="15.6" x14ac:dyDescent="0.25">
      <c r="A8" s="68">
        <v>7</v>
      </c>
      <c r="B8" s="68" t="s">
        <v>432</v>
      </c>
      <c r="C8" s="68" t="s">
        <v>433</v>
      </c>
      <c r="D8" s="68" t="s">
        <v>585</v>
      </c>
      <c r="E8" s="133" t="s">
        <v>572</v>
      </c>
      <c r="F8" s="70">
        <v>637.27564845152017</v>
      </c>
      <c r="G8" s="120">
        <f>'报价表-配送'!C52</f>
        <v>0</v>
      </c>
      <c r="H8" s="68" t="s">
        <v>427</v>
      </c>
      <c r="I8" s="68"/>
    </row>
    <row r="9" spans="1:10" ht="15.6" x14ac:dyDescent="0.25">
      <c r="A9" s="68">
        <v>8</v>
      </c>
      <c r="B9" s="68" t="s">
        <v>432</v>
      </c>
      <c r="C9" s="68" t="s">
        <v>434</v>
      </c>
      <c r="D9" s="68" t="s">
        <v>585</v>
      </c>
      <c r="E9" s="133" t="s">
        <v>572</v>
      </c>
      <c r="F9" s="70">
        <v>856.14751649968537</v>
      </c>
      <c r="G9" s="120">
        <f>'报价表-配送'!C59</f>
        <v>0</v>
      </c>
      <c r="H9" s="68" t="s">
        <v>427</v>
      </c>
      <c r="I9" s="68"/>
    </row>
    <row r="10" spans="1:10" ht="15.6" x14ac:dyDescent="0.25">
      <c r="A10" s="68">
        <v>9</v>
      </c>
      <c r="B10" s="68" t="s">
        <v>432</v>
      </c>
      <c r="C10" s="68" t="s">
        <v>435</v>
      </c>
      <c r="D10" s="68" t="s">
        <v>585</v>
      </c>
      <c r="E10" s="133" t="s">
        <v>572</v>
      </c>
      <c r="F10" s="70">
        <v>1540.0090405794863</v>
      </c>
      <c r="G10" s="120">
        <f>'报价表-配送'!C66</f>
        <v>0</v>
      </c>
      <c r="H10" s="68" t="s">
        <v>427</v>
      </c>
      <c r="I10" s="68"/>
    </row>
    <row r="11" spans="1:10" ht="15.6" x14ac:dyDescent="0.25">
      <c r="A11" s="68">
        <v>10</v>
      </c>
      <c r="B11" s="68" t="s">
        <v>432</v>
      </c>
      <c r="C11" s="68" t="s">
        <v>436</v>
      </c>
      <c r="D11" s="68" t="s">
        <v>585</v>
      </c>
      <c r="E11" s="69">
        <v>46240</v>
      </c>
      <c r="F11" s="70">
        <v>846.71107803989003</v>
      </c>
      <c r="G11" s="120">
        <f>'报价表-配送'!C73</f>
        <v>0</v>
      </c>
      <c r="H11" s="73" t="s">
        <v>427</v>
      </c>
      <c r="I11" s="68"/>
    </row>
    <row r="12" spans="1:10" ht="15.6" x14ac:dyDescent="0.25">
      <c r="A12" s="68">
        <v>11</v>
      </c>
      <c r="B12" s="68" t="s">
        <v>437</v>
      </c>
      <c r="C12" s="68" t="s">
        <v>438</v>
      </c>
      <c r="D12" s="68" t="s">
        <v>585</v>
      </c>
      <c r="E12" s="69">
        <v>46241</v>
      </c>
      <c r="F12" s="70">
        <v>38.336506821180002</v>
      </c>
      <c r="G12" s="120">
        <f>'报价表-配送'!C82</f>
        <v>0</v>
      </c>
      <c r="H12" s="73" t="s">
        <v>427</v>
      </c>
      <c r="I12" s="68"/>
    </row>
    <row r="13" spans="1:10" ht="15.6" x14ac:dyDescent="0.25">
      <c r="A13" s="68">
        <v>12</v>
      </c>
      <c r="B13" s="68" t="s">
        <v>439</v>
      </c>
      <c r="C13" s="68" t="s">
        <v>440</v>
      </c>
      <c r="D13" s="68" t="s">
        <v>585</v>
      </c>
      <c r="E13" s="133" t="s">
        <v>572</v>
      </c>
      <c r="F13" s="70">
        <v>1210.6266576869079</v>
      </c>
      <c r="G13" s="120">
        <f>'报价表-配送'!C89</f>
        <v>0</v>
      </c>
      <c r="H13" s="73" t="s">
        <v>427</v>
      </c>
      <c r="I13" s="68"/>
    </row>
    <row r="14" spans="1:10" ht="15.6" x14ac:dyDescent="0.25">
      <c r="A14" s="68">
        <v>13</v>
      </c>
      <c r="B14" s="68" t="s">
        <v>439</v>
      </c>
      <c r="C14" s="68" t="s">
        <v>441</v>
      </c>
      <c r="D14" s="68" t="s">
        <v>585</v>
      </c>
      <c r="E14" s="133" t="s">
        <v>572</v>
      </c>
      <c r="F14" s="70">
        <v>440.42277372101995</v>
      </c>
      <c r="G14" s="120">
        <f>'报价表-配送'!C96</f>
        <v>0</v>
      </c>
      <c r="H14" s="73" t="s">
        <v>427</v>
      </c>
      <c r="I14" s="68"/>
    </row>
    <row r="15" spans="1:10" ht="15.6" x14ac:dyDescent="0.25">
      <c r="A15" s="68"/>
      <c r="B15" s="68"/>
      <c r="C15" s="68"/>
      <c r="D15" s="68"/>
      <c r="E15" s="69"/>
      <c r="F15" s="70">
        <f>SUM(F2:F14)</f>
        <v>11601.722525470184</v>
      </c>
      <c r="G15" s="71">
        <f>SUM(G2:G14)</f>
        <v>0</v>
      </c>
      <c r="H15" s="74"/>
      <c r="I15" s="68"/>
    </row>
  </sheetData>
  <sheetProtection algorithmName="SHA-512" hashValue="pBv6s0JpYsTLyIWIhBHn+9dSh8GfwnCLcvOjkk37V2JvyHko7XMyR66G6iHkIuVRVmL3d9AOIRMHwaLbhzWIpw==" saltValue="fI/vLNEgQIwoKGIyuBrRmQ==" spinCount="100000" sheet="1" objects="1" scenarios="1"/>
  <autoFilter ref="A1:I15" xr:uid="{00000000-0009-0000-0000-000002000000}"/>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8"/>
  <sheetViews>
    <sheetView topLeftCell="A64" workbookViewId="0">
      <selection activeCell="K94" sqref="K94"/>
    </sheetView>
  </sheetViews>
  <sheetFormatPr defaultColWidth="8.6640625" defaultRowHeight="13.8" x14ac:dyDescent="0.25"/>
  <cols>
    <col min="1" max="1" width="10.77734375" style="1" customWidth="1"/>
    <col min="2" max="2" width="15.21875" style="1" customWidth="1"/>
    <col min="3" max="4" width="11.44140625" style="1" customWidth="1"/>
    <col min="5" max="5" width="14" style="1" customWidth="1"/>
    <col min="6" max="8" width="11.44140625" style="2" customWidth="1"/>
    <col min="9" max="9" width="11.5546875" style="1" customWidth="1"/>
    <col min="10" max="11" width="8.6640625" style="1"/>
    <col min="12" max="12" width="8.44140625" style="1" bestFit="1" customWidth="1"/>
    <col min="13" max="16384" width="8.6640625" style="1"/>
  </cols>
  <sheetData>
    <row r="1" spans="1:14" ht="19.95" customHeight="1" x14ac:dyDescent="0.25">
      <c r="A1" s="185" t="s">
        <v>86</v>
      </c>
      <c r="B1" s="186"/>
      <c r="C1" s="184" t="s">
        <v>65</v>
      </c>
      <c r="D1" s="191"/>
      <c r="E1" s="191"/>
      <c r="F1" s="184" t="s">
        <v>47</v>
      </c>
      <c r="G1" s="184"/>
      <c r="H1" s="184"/>
      <c r="I1" s="184"/>
      <c r="N1" s="22"/>
    </row>
    <row r="2" spans="1:14" ht="19.95" customHeight="1" x14ac:dyDescent="0.25">
      <c r="A2" s="26" t="s">
        <v>9</v>
      </c>
      <c r="B2" s="20" t="s">
        <v>18</v>
      </c>
      <c r="C2" s="20" t="s">
        <v>417</v>
      </c>
      <c r="D2" s="20" t="s">
        <v>418</v>
      </c>
      <c r="E2" s="20" t="s">
        <v>419</v>
      </c>
      <c r="F2" s="20" t="s">
        <v>17</v>
      </c>
      <c r="G2" s="20" t="s">
        <v>33</v>
      </c>
      <c r="H2" s="20" t="s">
        <v>29</v>
      </c>
      <c r="I2" s="20" t="s">
        <v>63</v>
      </c>
      <c r="N2" s="22"/>
    </row>
    <row r="3" spans="1:14" ht="19.95" customHeight="1" x14ac:dyDescent="0.25">
      <c r="A3" s="18">
        <v>1</v>
      </c>
      <c r="B3" s="17" t="s">
        <v>394</v>
      </c>
      <c r="C3" s="16"/>
      <c r="D3" s="16"/>
      <c r="E3" s="16"/>
      <c r="F3" s="28"/>
      <c r="G3" s="8"/>
      <c r="H3" s="28"/>
      <c r="I3" s="8"/>
      <c r="N3" s="22"/>
    </row>
    <row r="4" spans="1:14" ht="19.95" customHeight="1" x14ac:dyDescent="0.25">
      <c r="A4" s="18">
        <v>2</v>
      </c>
      <c r="B4" s="17" t="s">
        <v>12</v>
      </c>
      <c r="C4" s="16"/>
      <c r="D4" s="16"/>
      <c r="E4" s="16"/>
      <c r="F4" s="28"/>
      <c r="G4" s="8"/>
      <c r="H4" s="28"/>
      <c r="I4" s="8"/>
      <c r="N4" s="22"/>
    </row>
    <row r="5" spans="1:14" ht="19.95" customHeight="1" x14ac:dyDescent="0.25">
      <c r="A5" s="18">
        <v>3</v>
      </c>
      <c r="B5" s="17" t="s">
        <v>26</v>
      </c>
      <c r="C5" s="16"/>
      <c r="D5" s="16"/>
      <c r="E5" s="16"/>
      <c r="F5" s="28"/>
      <c r="G5" s="8"/>
      <c r="H5" s="28"/>
      <c r="I5" s="8"/>
      <c r="N5" s="22"/>
    </row>
    <row r="6" spans="1:14" ht="19.95" customHeight="1" x14ac:dyDescent="0.25">
      <c r="A6" s="18">
        <v>4</v>
      </c>
      <c r="B6" s="17" t="s">
        <v>35</v>
      </c>
      <c r="C6" s="16"/>
      <c r="D6" s="16"/>
      <c r="E6" s="16"/>
      <c r="F6" s="28"/>
      <c r="G6" s="8"/>
      <c r="H6" s="28"/>
      <c r="I6" s="8"/>
      <c r="N6" s="22"/>
    </row>
    <row r="7" spans="1:14" ht="25.05" customHeight="1" x14ac:dyDescent="0.25">
      <c r="A7" s="184" t="s">
        <v>397</v>
      </c>
      <c r="B7" s="187"/>
      <c r="C7" s="7">
        <f>SUMIF('配送-测算'!A:A,"沈阳",'配送-测算'!N:N)</f>
        <v>0</v>
      </c>
      <c r="D7" s="25"/>
      <c r="E7" s="25"/>
      <c r="F7" s="25"/>
      <c r="G7" s="25"/>
      <c r="H7" s="25"/>
      <c r="I7" s="24"/>
      <c r="N7" s="22"/>
    </row>
    <row r="8" spans="1:14" ht="19.95" customHeight="1" x14ac:dyDescent="0.25">
      <c r="A8" s="185" t="s">
        <v>87</v>
      </c>
      <c r="B8" s="186"/>
      <c r="C8" s="184" t="s">
        <v>24</v>
      </c>
      <c r="D8" s="191"/>
      <c r="E8" s="191"/>
      <c r="F8" s="184" t="s">
        <v>61</v>
      </c>
      <c r="G8" s="184"/>
      <c r="H8" s="184"/>
      <c r="I8" s="184"/>
      <c r="N8" s="22"/>
    </row>
    <row r="9" spans="1:14" s="19" customFormat="1" ht="19.95" customHeight="1" x14ac:dyDescent="0.25">
      <c r="A9" s="26" t="s">
        <v>9</v>
      </c>
      <c r="B9" s="20" t="s">
        <v>18</v>
      </c>
      <c r="C9" s="20" t="s">
        <v>64</v>
      </c>
      <c r="D9" s="20" t="s">
        <v>395</v>
      </c>
      <c r="E9" s="20" t="s">
        <v>396</v>
      </c>
      <c r="F9" s="20" t="s">
        <v>17</v>
      </c>
      <c r="G9" s="20" t="s">
        <v>33</v>
      </c>
      <c r="H9" s="20" t="s">
        <v>60</v>
      </c>
      <c r="I9" s="20" t="s">
        <v>56</v>
      </c>
    </row>
    <row r="10" spans="1:14" s="13" customFormat="1" ht="19.95" customHeight="1" x14ac:dyDescent="0.25">
      <c r="A10" s="18">
        <v>1</v>
      </c>
      <c r="B10" s="17" t="s">
        <v>22</v>
      </c>
      <c r="C10" s="9"/>
      <c r="D10" s="9"/>
      <c r="E10" s="9"/>
      <c r="F10" s="8"/>
      <c r="G10" s="8"/>
      <c r="H10" s="8"/>
      <c r="I10" s="8"/>
    </row>
    <row r="11" spans="1:14" s="13" customFormat="1" ht="19.95" customHeight="1" x14ac:dyDescent="0.25">
      <c r="A11" s="18">
        <v>2</v>
      </c>
      <c r="B11" s="17" t="s">
        <v>21</v>
      </c>
      <c r="C11" s="9"/>
      <c r="D11" s="9"/>
      <c r="E11" s="9"/>
      <c r="F11" s="8"/>
      <c r="G11" s="8"/>
      <c r="H11" s="8"/>
      <c r="I11" s="8"/>
    </row>
    <row r="12" spans="1:14" s="13" customFormat="1" ht="19.95" customHeight="1" x14ac:dyDescent="0.25">
      <c r="A12" s="18">
        <v>3</v>
      </c>
      <c r="B12" s="17" t="s">
        <v>55</v>
      </c>
      <c r="C12" s="9"/>
      <c r="D12" s="9"/>
      <c r="E12" s="9"/>
      <c r="F12" s="8"/>
      <c r="G12" s="8"/>
      <c r="H12" s="8"/>
      <c r="I12" s="8"/>
    </row>
    <row r="13" spans="1:14" s="13" customFormat="1" ht="19.95" customHeight="1" x14ac:dyDescent="0.25">
      <c r="A13" s="18">
        <v>4</v>
      </c>
      <c r="B13" s="17" t="s">
        <v>3</v>
      </c>
      <c r="C13" s="9"/>
      <c r="D13" s="9"/>
      <c r="E13" s="9"/>
      <c r="F13" s="8"/>
      <c r="G13" s="8"/>
      <c r="H13" s="8"/>
      <c r="I13" s="8"/>
    </row>
    <row r="14" spans="1:14" s="13" customFormat="1" ht="25.05" customHeight="1" x14ac:dyDescent="0.25">
      <c r="A14" s="184" t="s">
        <v>398</v>
      </c>
      <c r="B14" s="187"/>
      <c r="C14" s="7">
        <f>SUMIF('配送-测算'!A:A,"庄河",'配送-测算'!N:N)</f>
        <v>0</v>
      </c>
      <c r="D14" s="15"/>
      <c r="E14" s="15"/>
      <c r="F14" s="15"/>
      <c r="G14" s="15"/>
      <c r="H14" s="15"/>
      <c r="I14" s="14"/>
    </row>
    <row r="15" spans="1:14" ht="19.95" customHeight="1" x14ac:dyDescent="0.25">
      <c r="A15" s="185" t="s">
        <v>88</v>
      </c>
      <c r="B15" s="186"/>
      <c r="C15" s="184" t="s">
        <v>59</v>
      </c>
      <c r="D15" s="191"/>
      <c r="E15" s="191"/>
      <c r="F15" s="184" t="s">
        <v>58</v>
      </c>
      <c r="G15" s="184"/>
      <c r="H15" s="184"/>
      <c r="I15" s="184"/>
    </row>
    <row r="16" spans="1:14" s="11" customFormat="1" ht="19.95" customHeight="1" x14ac:dyDescent="0.25">
      <c r="A16" s="12" t="s">
        <v>9</v>
      </c>
      <c r="B16" s="12" t="s">
        <v>8</v>
      </c>
      <c r="C16" s="20" t="s">
        <v>64</v>
      </c>
      <c r="D16" s="20" t="s">
        <v>395</v>
      </c>
      <c r="E16" s="20" t="s">
        <v>396</v>
      </c>
      <c r="F16" s="12" t="s">
        <v>17</v>
      </c>
      <c r="G16" s="12" t="s">
        <v>57</v>
      </c>
      <c r="H16" s="12" t="s">
        <v>29</v>
      </c>
      <c r="I16" s="12" t="s">
        <v>56</v>
      </c>
    </row>
    <row r="17" spans="1:14" ht="19.95" customHeight="1" x14ac:dyDescent="0.25">
      <c r="A17" s="10">
        <v>1</v>
      </c>
      <c r="B17" s="4" t="s">
        <v>44</v>
      </c>
      <c r="C17" s="23"/>
      <c r="D17" s="23"/>
      <c r="E17" s="23"/>
      <c r="F17" s="28"/>
      <c r="G17" s="8"/>
      <c r="H17" s="28"/>
      <c r="I17" s="8"/>
    </row>
    <row r="18" spans="1:14" ht="19.95" customHeight="1" x14ac:dyDescent="0.25">
      <c r="A18" s="10">
        <v>2</v>
      </c>
      <c r="B18" s="4" t="s">
        <v>21</v>
      </c>
      <c r="C18" s="23"/>
      <c r="D18" s="23"/>
      <c r="E18" s="23"/>
      <c r="F18" s="28"/>
      <c r="G18" s="8"/>
      <c r="H18" s="28"/>
      <c r="I18" s="8"/>
    </row>
    <row r="19" spans="1:14" ht="19.95" customHeight="1" x14ac:dyDescent="0.25">
      <c r="A19" s="10">
        <v>3</v>
      </c>
      <c r="B19" s="4" t="s">
        <v>39</v>
      </c>
      <c r="C19" s="23"/>
      <c r="D19" s="23"/>
      <c r="E19" s="23"/>
      <c r="F19" s="28"/>
      <c r="G19" s="8"/>
      <c r="H19" s="28"/>
      <c r="I19" s="8"/>
    </row>
    <row r="20" spans="1:14" ht="19.95" customHeight="1" x14ac:dyDescent="0.25">
      <c r="A20" s="10">
        <v>4</v>
      </c>
      <c r="B20" s="4" t="s">
        <v>411</v>
      </c>
      <c r="C20" s="23"/>
      <c r="D20" s="23"/>
      <c r="E20" s="23"/>
      <c r="F20" s="28"/>
      <c r="G20" s="8"/>
      <c r="H20" s="28"/>
      <c r="I20" s="8"/>
    </row>
    <row r="21" spans="1:14" ht="19.95" customHeight="1" x14ac:dyDescent="0.25">
      <c r="A21" s="10">
        <v>5</v>
      </c>
      <c r="B21" s="17" t="s">
        <v>37</v>
      </c>
      <c r="C21" s="63"/>
      <c r="D21" s="23"/>
      <c r="E21" s="23"/>
      <c r="F21" s="28"/>
      <c r="G21" s="8"/>
      <c r="H21" s="28"/>
      <c r="I21" s="8"/>
    </row>
    <row r="22" spans="1:14" ht="25.05" customHeight="1" x14ac:dyDescent="0.25">
      <c r="A22" s="194" t="s">
        <v>399</v>
      </c>
      <c r="B22" s="194"/>
      <c r="C22" s="7">
        <f>SUMIF('配送-测算'!A:A,"哈尔滨",'配送-测算'!N:N)</f>
        <v>0</v>
      </c>
      <c r="D22" s="32"/>
      <c r="E22" s="32"/>
      <c r="F22" s="32"/>
      <c r="G22" s="32"/>
      <c r="H22" s="32"/>
      <c r="I22" s="32"/>
      <c r="N22" s="22"/>
    </row>
    <row r="23" spans="1:14" s="13" customFormat="1" ht="19.95" customHeight="1" x14ac:dyDescent="0.25">
      <c r="A23" s="185" t="s">
        <v>89</v>
      </c>
      <c r="B23" s="186"/>
      <c r="C23" s="184" t="s">
        <v>20</v>
      </c>
      <c r="D23" s="191"/>
      <c r="E23" s="191"/>
      <c r="F23" s="184" t="s">
        <v>10</v>
      </c>
      <c r="G23" s="184"/>
      <c r="H23" s="184"/>
      <c r="I23" s="184"/>
    </row>
    <row r="24" spans="1:14" s="19" customFormat="1" ht="19.95" customHeight="1" x14ac:dyDescent="0.25">
      <c r="A24" s="26" t="s">
        <v>9</v>
      </c>
      <c r="B24" s="20" t="s">
        <v>8</v>
      </c>
      <c r="C24" s="20" t="s">
        <v>64</v>
      </c>
      <c r="D24" s="20" t="s">
        <v>395</v>
      </c>
      <c r="E24" s="20" t="s">
        <v>396</v>
      </c>
      <c r="F24" s="20" t="s">
        <v>17</v>
      </c>
      <c r="G24" s="20" t="s">
        <v>6</v>
      </c>
      <c r="H24" s="20" t="s">
        <v>5</v>
      </c>
      <c r="I24" s="20" t="s">
        <v>36</v>
      </c>
    </row>
    <row r="25" spans="1:14" s="13" customFormat="1" ht="19.95" customHeight="1" x14ac:dyDescent="0.25">
      <c r="A25" s="18">
        <v>1</v>
      </c>
      <c r="B25" s="17" t="s">
        <v>32</v>
      </c>
      <c r="C25" s="9"/>
      <c r="D25" s="9"/>
      <c r="E25" s="9"/>
      <c r="F25" s="28"/>
      <c r="G25" s="8"/>
      <c r="H25" s="28"/>
      <c r="I25" s="8"/>
    </row>
    <row r="26" spans="1:14" s="13" customFormat="1" ht="19.95" customHeight="1" x14ac:dyDescent="0.25">
      <c r="A26" s="18">
        <v>2</v>
      </c>
      <c r="B26" s="17" t="s">
        <v>21</v>
      </c>
      <c r="C26" s="9"/>
      <c r="D26" s="9"/>
      <c r="E26" s="9"/>
      <c r="F26" s="28"/>
      <c r="G26" s="8"/>
      <c r="H26" s="28"/>
      <c r="I26" s="8"/>
    </row>
    <row r="27" spans="1:14" s="13" customFormat="1" ht="19.95" customHeight="1" x14ac:dyDescent="0.25">
      <c r="A27" s="18">
        <v>3</v>
      </c>
      <c r="B27" s="17" t="s">
        <v>55</v>
      </c>
      <c r="C27" s="9"/>
      <c r="D27" s="9"/>
      <c r="E27" s="9"/>
      <c r="F27" s="28"/>
      <c r="G27" s="8"/>
      <c r="H27" s="28"/>
      <c r="I27" s="8"/>
    </row>
    <row r="28" spans="1:14" s="13" customFormat="1" ht="19.95" customHeight="1" x14ac:dyDescent="0.25">
      <c r="A28" s="18">
        <v>4</v>
      </c>
      <c r="B28" s="17" t="s">
        <v>35</v>
      </c>
      <c r="C28" s="9"/>
      <c r="D28" s="9"/>
      <c r="E28" s="9"/>
      <c r="F28" s="28"/>
      <c r="G28" s="8"/>
      <c r="H28" s="28"/>
      <c r="I28" s="8"/>
    </row>
    <row r="29" spans="1:14" s="13" customFormat="1" ht="19.95" customHeight="1" x14ac:dyDescent="0.25">
      <c r="A29" s="10">
        <v>5</v>
      </c>
      <c r="B29" s="17" t="s">
        <v>37</v>
      </c>
      <c r="C29" s="63"/>
      <c r="D29" s="23"/>
      <c r="E29" s="23"/>
      <c r="F29" s="28"/>
      <c r="G29" s="8"/>
      <c r="H29" s="28"/>
      <c r="I29" s="8"/>
    </row>
    <row r="30" spans="1:14" s="13" customFormat="1" ht="25.05" customHeight="1" x14ac:dyDescent="0.25">
      <c r="A30" s="184" t="s">
        <v>400</v>
      </c>
      <c r="B30" s="187"/>
      <c r="C30" s="7">
        <f>SUMIF('配送-测算'!A:A,"黑河",'配送-测算'!N:N)</f>
        <v>0</v>
      </c>
      <c r="D30" s="25"/>
      <c r="E30" s="25"/>
      <c r="F30" s="25"/>
      <c r="G30" s="25"/>
      <c r="H30" s="25"/>
      <c r="I30" s="24"/>
      <c r="N30" s="27"/>
    </row>
    <row r="31" spans="1:14" s="13" customFormat="1" ht="19.95" customHeight="1" x14ac:dyDescent="0.25">
      <c r="A31" s="185" t="s">
        <v>90</v>
      </c>
      <c r="B31" s="186"/>
      <c r="C31" s="188" t="s">
        <v>20</v>
      </c>
      <c r="D31" s="189"/>
      <c r="E31" s="190"/>
      <c r="F31" s="188" t="s">
        <v>54</v>
      </c>
      <c r="G31" s="189"/>
      <c r="H31" s="189"/>
      <c r="I31" s="190"/>
      <c r="N31" s="27"/>
    </row>
    <row r="32" spans="1:14" s="13" customFormat="1" ht="19.95" customHeight="1" x14ac:dyDescent="0.25">
      <c r="A32" s="31" t="s">
        <v>9</v>
      </c>
      <c r="B32" s="31" t="s">
        <v>53</v>
      </c>
      <c r="C32" s="20" t="s">
        <v>64</v>
      </c>
      <c r="D32" s="20" t="s">
        <v>395</v>
      </c>
      <c r="E32" s="20" t="s">
        <v>396</v>
      </c>
      <c r="F32" s="12" t="s">
        <v>30</v>
      </c>
      <c r="G32" s="12" t="s">
        <v>52</v>
      </c>
      <c r="H32" s="12" t="s">
        <v>23</v>
      </c>
      <c r="I32" s="12" t="s">
        <v>28</v>
      </c>
    </row>
    <row r="33" spans="1:14" s="19" customFormat="1" ht="19.95" customHeight="1" x14ac:dyDescent="0.25">
      <c r="A33" s="10">
        <v>1</v>
      </c>
      <c r="B33" s="4" t="s">
        <v>13</v>
      </c>
      <c r="C33" s="9"/>
      <c r="D33" s="9"/>
      <c r="E33" s="9"/>
      <c r="F33" s="28"/>
      <c r="G33" s="8"/>
      <c r="H33" s="28"/>
      <c r="I33" s="8"/>
    </row>
    <row r="34" spans="1:14" s="13" customFormat="1" ht="19.95" customHeight="1" x14ac:dyDescent="0.25">
      <c r="A34" s="10">
        <v>2</v>
      </c>
      <c r="B34" s="4" t="s">
        <v>12</v>
      </c>
      <c r="C34" s="9"/>
      <c r="D34" s="9"/>
      <c r="E34" s="9"/>
      <c r="F34" s="28"/>
      <c r="G34" s="8"/>
      <c r="H34" s="28"/>
      <c r="I34" s="8"/>
    </row>
    <row r="35" spans="1:14" s="13" customFormat="1" ht="19.95" customHeight="1" x14ac:dyDescent="0.25">
      <c r="A35" s="10">
        <v>3</v>
      </c>
      <c r="B35" s="4" t="s">
        <v>51</v>
      </c>
      <c r="C35" s="9"/>
      <c r="D35" s="9"/>
      <c r="E35" s="9"/>
      <c r="F35" s="28"/>
      <c r="G35" s="8"/>
      <c r="H35" s="28"/>
      <c r="I35" s="8"/>
    </row>
    <row r="36" spans="1:14" s="13" customFormat="1" ht="19.95" customHeight="1" x14ac:dyDescent="0.25">
      <c r="A36" s="10">
        <v>4</v>
      </c>
      <c r="B36" s="4" t="s">
        <v>3</v>
      </c>
      <c r="C36" s="9"/>
      <c r="D36" s="9"/>
      <c r="E36" s="9"/>
      <c r="F36" s="28"/>
      <c r="G36" s="8"/>
      <c r="H36" s="28"/>
      <c r="I36" s="8"/>
    </row>
    <row r="37" spans="1:14" s="13" customFormat="1" ht="19.95" customHeight="1" x14ac:dyDescent="0.25">
      <c r="A37" s="10">
        <v>5</v>
      </c>
      <c r="B37" s="17" t="s">
        <v>37</v>
      </c>
      <c r="C37" s="9"/>
      <c r="D37" s="9"/>
      <c r="E37" s="9"/>
      <c r="F37" s="28"/>
      <c r="G37" s="8"/>
      <c r="H37" s="28"/>
      <c r="I37" s="8"/>
    </row>
    <row r="38" spans="1:14" s="13" customFormat="1" ht="25.05" customHeight="1" x14ac:dyDescent="0.25">
      <c r="A38" s="184" t="s">
        <v>401</v>
      </c>
      <c r="B38" s="187"/>
      <c r="C38" s="7">
        <f>SUMIF('配送-测算'!A:A,"佳木斯",'配送-测算'!N:N)</f>
        <v>0</v>
      </c>
      <c r="D38" s="6"/>
      <c r="E38" s="6"/>
      <c r="F38" s="6"/>
      <c r="G38" s="6"/>
      <c r="H38" s="6"/>
      <c r="I38" s="5"/>
    </row>
    <row r="39" spans="1:14" ht="19.95" customHeight="1" x14ac:dyDescent="0.25">
      <c r="A39" s="185" t="s">
        <v>91</v>
      </c>
      <c r="B39" s="186"/>
      <c r="C39" s="184" t="s">
        <v>20</v>
      </c>
      <c r="D39" s="191"/>
      <c r="E39" s="191"/>
      <c r="F39" s="184" t="s">
        <v>47</v>
      </c>
      <c r="G39" s="184"/>
      <c r="H39" s="184"/>
      <c r="I39" s="184"/>
    </row>
    <row r="40" spans="1:14" s="11" customFormat="1" ht="19.95" customHeight="1" x14ac:dyDescent="0.25">
      <c r="A40" s="26" t="s">
        <v>9</v>
      </c>
      <c r="B40" s="20" t="s">
        <v>8</v>
      </c>
      <c r="C40" s="20" t="s">
        <v>64</v>
      </c>
      <c r="D40" s="20" t="s">
        <v>395</v>
      </c>
      <c r="E40" s="20" t="s">
        <v>396</v>
      </c>
      <c r="F40" s="20" t="s">
        <v>17</v>
      </c>
      <c r="G40" s="20" t="s">
        <v>50</v>
      </c>
      <c r="H40" s="20" t="s">
        <v>49</v>
      </c>
      <c r="I40" s="20" t="s">
        <v>14</v>
      </c>
    </row>
    <row r="41" spans="1:14" ht="19.95" customHeight="1" x14ac:dyDescent="0.25">
      <c r="A41" s="18">
        <v>1</v>
      </c>
      <c r="B41" s="17" t="s">
        <v>4</v>
      </c>
      <c r="C41" s="9"/>
      <c r="D41" s="9"/>
      <c r="E41" s="9"/>
      <c r="F41" s="28"/>
      <c r="G41" s="8"/>
      <c r="H41" s="28"/>
      <c r="I41" s="8"/>
    </row>
    <row r="42" spans="1:14" ht="19.95" customHeight="1" x14ac:dyDescent="0.25">
      <c r="A42" s="18">
        <v>2</v>
      </c>
      <c r="B42" s="17" t="s">
        <v>21</v>
      </c>
      <c r="C42" s="9"/>
      <c r="D42" s="9"/>
      <c r="E42" s="9"/>
      <c r="F42" s="28"/>
      <c r="G42" s="8"/>
      <c r="H42" s="28"/>
      <c r="I42" s="8"/>
    </row>
    <row r="43" spans="1:14" ht="19.95" customHeight="1" x14ac:dyDescent="0.25">
      <c r="A43" s="18">
        <v>3</v>
      </c>
      <c r="B43" s="17" t="s">
        <v>11</v>
      </c>
      <c r="C43" s="9"/>
      <c r="D43" s="9"/>
      <c r="E43" s="9"/>
      <c r="F43" s="28"/>
      <c r="G43" s="8"/>
      <c r="H43" s="28"/>
      <c r="I43" s="8"/>
    </row>
    <row r="44" spans="1:14" ht="19.95" customHeight="1" x14ac:dyDescent="0.25">
      <c r="A44" s="18">
        <v>4</v>
      </c>
      <c r="B44" s="17" t="s">
        <v>48</v>
      </c>
      <c r="C44" s="9"/>
      <c r="D44" s="9"/>
      <c r="E44" s="9"/>
      <c r="F44" s="28"/>
      <c r="G44" s="8"/>
      <c r="H44" s="28"/>
      <c r="I44" s="8"/>
    </row>
    <row r="45" spans="1:14" ht="25.05" customHeight="1" x14ac:dyDescent="0.25">
      <c r="A45" s="184" t="s">
        <v>402</v>
      </c>
      <c r="B45" s="187"/>
      <c r="C45" s="7">
        <f>SUMIF('配送-测算'!A:A,"牡丹江",'配送-测算'!N:N)</f>
        <v>0</v>
      </c>
      <c r="D45" s="30"/>
      <c r="E45" s="30"/>
      <c r="F45" s="30"/>
      <c r="G45" s="30"/>
      <c r="H45" s="30"/>
      <c r="I45" s="29"/>
      <c r="N45" s="22"/>
    </row>
    <row r="46" spans="1:14" s="13" customFormat="1" ht="19.95" customHeight="1" x14ac:dyDescent="0.25">
      <c r="A46" s="185" t="s">
        <v>92</v>
      </c>
      <c r="B46" s="186"/>
      <c r="C46" s="184" t="s">
        <v>20</v>
      </c>
      <c r="D46" s="191"/>
      <c r="E46" s="191"/>
      <c r="F46" s="184" t="s">
        <v>47</v>
      </c>
      <c r="G46" s="184"/>
      <c r="H46" s="184"/>
      <c r="I46" s="184"/>
    </row>
    <row r="47" spans="1:14" s="19" customFormat="1" ht="19.95" customHeight="1" x14ac:dyDescent="0.25">
      <c r="A47" s="26" t="s">
        <v>9</v>
      </c>
      <c r="B47" s="20" t="s">
        <v>46</v>
      </c>
      <c r="C47" s="20" t="s">
        <v>64</v>
      </c>
      <c r="D47" s="20" t="s">
        <v>395</v>
      </c>
      <c r="E47" s="20" t="s">
        <v>396</v>
      </c>
      <c r="F47" s="20" t="s">
        <v>7</v>
      </c>
      <c r="G47" s="20" t="s">
        <v>45</v>
      </c>
      <c r="H47" s="20" t="s">
        <v>5</v>
      </c>
      <c r="I47" s="20" t="s">
        <v>14</v>
      </c>
    </row>
    <row r="48" spans="1:14" s="13" customFormat="1" ht="19.95" customHeight="1" x14ac:dyDescent="0.25">
      <c r="A48" s="18">
        <v>1</v>
      </c>
      <c r="B48" s="17" t="s">
        <v>44</v>
      </c>
      <c r="C48" s="9"/>
      <c r="D48" s="9"/>
      <c r="E48" s="9"/>
      <c r="F48" s="28"/>
      <c r="G48" s="8"/>
      <c r="H48" s="28"/>
      <c r="I48" s="8"/>
    </row>
    <row r="49" spans="1:13" s="13" customFormat="1" ht="19.95" customHeight="1" x14ac:dyDescent="0.25">
      <c r="A49" s="18">
        <v>2</v>
      </c>
      <c r="B49" s="17" t="s">
        <v>21</v>
      </c>
      <c r="C49" s="9"/>
      <c r="D49" s="9"/>
      <c r="E49" s="9"/>
      <c r="F49" s="28"/>
      <c r="G49" s="8"/>
      <c r="H49" s="28"/>
      <c r="I49" s="8"/>
    </row>
    <row r="50" spans="1:13" s="13" customFormat="1" ht="19.95" customHeight="1" x14ac:dyDescent="0.25">
      <c r="A50" s="18">
        <v>3</v>
      </c>
      <c r="B50" s="17" t="s">
        <v>11</v>
      </c>
      <c r="C50" s="9"/>
      <c r="D50" s="9"/>
      <c r="E50" s="9"/>
      <c r="F50" s="28"/>
      <c r="G50" s="8"/>
      <c r="H50" s="28"/>
      <c r="I50" s="8"/>
    </row>
    <row r="51" spans="1:13" s="13" customFormat="1" ht="19.95" customHeight="1" x14ac:dyDescent="0.25">
      <c r="A51" s="18">
        <v>4</v>
      </c>
      <c r="B51" s="17" t="s">
        <v>43</v>
      </c>
      <c r="C51" s="9"/>
      <c r="D51" s="9"/>
      <c r="E51" s="9"/>
      <c r="F51" s="28"/>
      <c r="G51" s="8"/>
      <c r="H51" s="28"/>
      <c r="I51" s="8"/>
    </row>
    <row r="52" spans="1:13" s="13" customFormat="1" ht="25.05" customHeight="1" x14ac:dyDescent="0.25">
      <c r="A52" s="184" t="s">
        <v>403</v>
      </c>
      <c r="B52" s="187"/>
      <c r="C52" s="7">
        <f>SUMIF('配送-测算'!A:A,"南京",'配送-测算'!N:N)</f>
        <v>0</v>
      </c>
      <c r="D52" s="25"/>
      <c r="E52" s="25"/>
      <c r="F52" s="25"/>
      <c r="G52" s="25"/>
      <c r="H52" s="25"/>
      <c r="I52" s="24"/>
      <c r="M52" s="27"/>
    </row>
    <row r="53" spans="1:13" s="13" customFormat="1" ht="19.95" customHeight="1" x14ac:dyDescent="0.25">
      <c r="A53" s="185" t="s">
        <v>93</v>
      </c>
      <c r="B53" s="186"/>
      <c r="C53" s="184" t="s">
        <v>20</v>
      </c>
      <c r="D53" s="191"/>
      <c r="E53" s="191"/>
      <c r="F53" s="184" t="s">
        <v>42</v>
      </c>
      <c r="G53" s="184"/>
      <c r="H53" s="184"/>
      <c r="I53" s="184"/>
    </row>
    <row r="54" spans="1:13" s="19" customFormat="1" ht="19.95" customHeight="1" x14ac:dyDescent="0.25">
      <c r="A54" s="26" t="s">
        <v>9</v>
      </c>
      <c r="B54" s="20" t="s">
        <v>41</v>
      </c>
      <c r="C54" s="20" t="s">
        <v>64</v>
      </c>
      <c r="D54" s="20" t="s">
        <v>395</v>
      </c>
      <c r="E54" s="20" t="s">
        <v>396</v>
      </c>
      <c r="F54" s="20" t="s">
        <v>40</v>
      </c>
      <c r="G54" s="20" t="s">
        <v>6</v>
      </c>
      <c r="H54" s="20" t="s">
        <v>29</v>
      </c>
      <c r="I54" s="20" t="s">
        <v>14</v>
      </c>
    </row>
    <row r="55" spans="1:13" s="13" customFormat="1" ht="19.95" customHeight="1" x14ac:dyDescent="0.25">
      <c r="A55" s="18">
        <v>1</v>
      </c>
      <c r="B55" s="17" t="s">
        <v>32</v>
      </c>
      <c r="C55" s="9"/>
      <c r="D55" s="9"/>
      <c r="E55" s="9"/>
      <c r="F55" s="8"/>
      <c r="G55" s="8"/>
      <c r="H55" s="8"/>
      <c r="I55" s="8"/>
    </row>
    <row r="56" spans="1:13" s="13" customFormat="1" ht="19.95" customHeight="1" x14ac:dyDescent="0.25">
      <c r="A56" s="18">
        <v>2</v>
      </c>
      <c r="B56" s="17" t="s">
        <v>12</v>
      </c>
      <c r="C56" s="9"/>
      <c r="D56" s="9"/>
      <c r="E56" s="9"/>
      <c r="F56" s="8"/>
      <c r="G56" s="8"/>
      <c r="H56" s="8"/>
      <c r="I56" s="8"/>
    </row>
    <row r="57" spans="1:13" s="13" customFormat="1" ht="19.95" customHeight="1" x14ac:dyDescent="0.25">
      <c r="A57" s="18">
        <v>3</v>
      </c>
      <c r="B57" s="17" t="s">
        <v>39</v>
      </c>
      <c r="C57" s="9"/>
      <c r="D57" s="9"/>
      <c r="E57" s="9"/>
      <c r="F57" s="8"/>
      <c r="G57" s="8"/>
      <c r="H57" s="8"/>
      <c r="I57" s="8"/>
    </row>
    <row r="58" spans="1:13" s="13" customFormat="1" ht="19.95" customHeight="1" x14ac:dyDescent="0.25">
      <c r="A58" s="18">
        <v>4</v>
      </c>
      <c r="B58" s="17" t="s">
        <v>38</v>
      </c>
      <c r="C58" s="9"/>
      <c r="D58" s="9"/>
      <c r="E58" s="9"/>
      <c r="F58" s="8"/>
      <c r="G58" s="8"/>
      <c r="H58" s="8"/>
      <c r="I58" s="8"/>
    </row>
    <row r="59" spans="1:13" s="13" customFormat="1" ht="25.05" customHeight="1" x14ac:dyDescent="0.25">
      <c r="A59" s="184" t="s">
        <v>404</v>
      </c>
      <c r="B59" s="187"/>
      <c r="C59" s="7">
        <f>SUMIF('配送-测算'!A:A,"芜湖",'配送-测算'!N:N)</f>
        <v>0</v>
      </c>
      <c r="D59" s="25"/>
      <c r="E59" s="25"/>
      <c r="F59" s="25"/>
      <c r="G59" s="25"/>
      <c r="H59" s="25"/>
      <c r="I59" s="24"/>
    </row>
    <row r="60" spans="1:13" s="13" customFormat="1" ht="19.95" customHeight="1" x14ac:dyDescent="0.25">
      <c r="A60" s="192" t="s">
        <v>94</v>
      </c>
      <c r="B60" s="193"/>
      <c r="C60" s="194" t="s">
        <v>20</v>
      </c>
      <c r="D60" s="194"/>
      <c r="E60" s="194"/>
      <c r="F60" s="194" t="s">
        <v>10</v>
      </c>
      <c r="G60" s="194"/>
      <c r="H60" s="194"/>
      <c r="I60" s="194"/>
    </row>
    <row r="61" spans="1:13" s="19" customFormat="1" ht="19.95" customHeight="1" x14ac:dyDescent="0.25">
      <c r="A61" s="21" t="s">
        <v>9</v>
      </c>
      <c r="B61" s="21" t="s">
        <v>8</v>
      </c>
      <c r="C61" s="20" t="s">
        <v>64</v>
      </c>
      <c r="D61" s="20" t="s">
        <v>395</v>
      </c>
      <c r="E61" s="20" t="s">
        <v>396</v>
      </c>
      <c r="F61" s="20" t="s">
        <v>17</v>
      </c>
      <c r="G61" s="20" t="s">
        <v>6</v>
      </c>
      <c r="H61" s="20" t="s">
        <v>5</v>
      </c>
      <c r="I61" s="20" t="s">
        <v>36</v>
      </c>
    </row>
    <row r="62" spans="1:13" s="13" customFormat="1" ht="19.95" customHeight="1" x14ac:dyDescent="0.25">
      <c r="A62" s="18">
        <v>1</v>
      </c>
      <c r="B62" s="17" t="s">
        <v>32</v>
      </c>
      <c r="C62" s="16"/>
      <c r="D62" s="16"/>
      <c r="E62" s="16"/>
      <c r="F62" s="8"/>
      <c r="G62" s="8"/>
      <c r="H62" s="8"/>
      <c r="I62" s="8"/>
    </row>
    <row r="63" spans="1:13" s="13" customFormat="1" ht="19.95" customHeight="1" x14ac:dyDescent="0.25">
      <c r="A63" s="18">
        <v>2</v>
      </c>
      <c r="B63" s="17" t="s">
        <v>21</v>
      </c>
      <c r="C63" s="16"/>
      <c r="D63" s="16"/>
      <c r="E63" s="16"/>
      <c r="F63" s="8"/>
      <c r="G63" s="8"/>
      <c r="H63" s="8"/>
      <c r="I63" s="8"/>
    </row>
    <row r="64" spans="1:13" s="13" customFormat="1" ht="19.95" customHeight="1" x14ac:dyDescent="0.25">
      <c r="A64" s="18">
        <v>3</v>
      </c>
      <c r="B64" s="17" t="s">
        <v>11</v>
      </c>
      <c r="C64" s="16"/>
      <c r="D64" s="16"/>
      <c r="E64" s="16"/>
      <c r="F64" s="8"/>
      <c r="G64" s="8"/>
      <c r="H64" s="8"/>
      <c r="I64" s="8"/>
    </row>
    <row r="65" spans="1:9" s="13" customFormat="1" ht="19.95" customHeight="1" x14ac:dyDescent="0.25">
      <c r="A65" s="18">
        <v>4</v>
      </c>
      <c r="B65" s="17" t="s">
        <v>35</v>
      </c>
      <c r="C65" s="16"/>
      <c r="D65" s="16"/>
      <c r="E65" s="16"/>
      <c r="F65" s="8"/>
      <c r="G65" s="8"/>
      <c r="H65" s="8"/>
      <c r="I65" s="8"/>
    </row>
    <row r="66" spans="1:9" s="13" customFormat="1" ht="25.05" customHeight="1" x14ac:dyDescent="0.25">
      <c r="A66" s="184" t="s">
        <v>405</v>
      </c>
      <c r="B66" s="191"/>
      <c r="C66" s="7">
        <f>SUMIF('配送-测算'!A:A,"徐州",'配送-测算'!N:N)</f>
        <v>0</v>
      </c>
      <c r="D66" s="15"/>
      <c r="E66" s="15"/>
      <c r="F66" s="15"/>
      <c r="G66" s="15"/>
      <c r="H66" s="15"/>
      <c r="I66" s="14"/>
    </row>
    <row r="67" spans="1:9" s="13" customFormat="1" ht="19.95" customHeight="1" x14ac:dyDescent="0.25">
      <c r="A67" s="192" t="s">
        <v>95</v>
      </c>
      <c r="B67" s="193"/>
      <c r="C67" s="194" t="s">
        <v>34</v>
      </c>
      <c r="D67" s="194"/>
      <c r="E67" s="194"/>
      <c r="F67" s="194" t="s">
        <v>10</v>
      </c>
      <c r="G67" s="194"/>
      <c r="H67" s="194"/>
      <c r="I67" s="194"/>
    </row>
    <row r="68" spans="1:9" s="19" customFormat="1" ht="19.95" customHeight="1" x14ac:dyDescent="0.25">
      <c r="A68" s="21" t="s">
        <v>9</v>
      </c>
      <c r="B68" s="21" t="s">
        <v>8</v>
      </c>
      <c r="C68" s="20" t="s">
        <v>64</v>
      </c>
      <c r="D68" s="20" t="s">
        <v>395</v>
      </c>
      <c r="E68" s="20" t="s">
        <v>396</v>
      </c>
      <c r="F68" s="20" t="s">
        <v>17</v>
      </c>
      <c r="G68" s="20" t="s">
        <v>33</v>
      </c>
      <c r="H68" s="20" t="s">
        <v>29</v>
      </c>
      <c r="I68" s="20" t="s">
        <v>28</v>
      </c>
    </row>
    <row r="69" spans="1:9" s="13" customFormat="1" ht="19.95" customHeight="1" x14ac:dyDescent="0.25">
      <c r="A69" s="18">
        <v>1</v>
      </c>
      <c r="B69" s="17" t="s">
        <v>32</v>
      </c>
      <c r="C69" s="9"/>
      <c r="D69" s="9"/>
      <c r="E69" s="9"/>
      <c r="F69" s="8"/>
      <c r="G69" s="8"/>
      <c r="H69" s="8"/>
      <c r="I69" s="8"/>
    </row>
    <row r="70" spans="1:9" s="13" customFormat="1" ht="19.95" customHeight="1" x14ac:dyDescent="0.25">
      <c r="A70" s="18">
        <v>2</v>
      </c>
      <c r="B70" s="17" t="s">
        <v>31</v>
      </c>
      <c r="C70" s="9"/>
      <c r="D70" s="9"/>
      <c r="E70" s="9"/>
      <c r="F70" s="8"/>
      <c r="G70" s="8"/>
      <c r="H70" s="8"/>
      <c r="I70" s="8"/>
    </row>
    <row r="71" spans="1:9" s="13" customFormat="1" ht="19.95" customHeight="1" x14ac:dyDescent="0.25">
      <c r="A71" s="18">
        <v>3</v>
      </c>
      <c r="B71" s="17" t="s">
        <v>26</v>
      </c>
      <c r="C71" s="9"/>
      <c r="D71" s="9"/>
      <c r="E71" s="9"/>
      <c r="F71" s="8"/>
      <c r="G71" s="8"/>
      <c r="H71" s="8"/>
      <c r="I71" s="8"/>
    </row>
    <row r="72" spans="1:9" s="13" customFormat="1" ht="19.95" customHeight="1" x14ac:dyDescent="0.25">
      <c r="A72" s="18">
        <v>4</v>
      </c>
      <c r="B72" s="17" t="s">
        <v>3</v>
      </c>
      <c r="C72" s="9"/>
      <c r="D72" s="9"/>
      <c r="E72" s="9"/>
      <c r="F72" s="8"/>
      <c r="G72" s="8"/>
      <c r="H72" s="8"/>
      <c r="I72" s="8"/>
    </row>
    <row r="73" spans="1:9" s="13" customFormat="1" ht="25.05" customHeight="1" x14ac:dyDescent="0.25">
      <c r="A73" s="184" t="s">
        <v>406</v>
      </c>
      <c r="B73" s="191"/>
      <c r="C73" s="7">
        <f>SUMIF('配送-测算'!A:A,"淮南",'配送-测算'!N:N)</f>
        <v>0</v>
      </c>
      <c r="D73" s="15"/>
      <c r="E73" s="15"/>
      <c r="F73" s="15"/>
      <c r="G73" s="15"/>
      <c r="H73" s="15"/>
      <c r="I73" s="14"/>
    </row>
    <row r="74" spans="1:9" ht="19.95" customHeight="1" x14ac:dyDescent="0.25">
      <c r="A74" s="192" t="s">
        <v>62</v>
      </c>
      <c r="B74" s="193"/>
      <c r="C74" s="194" t="s">
        <v>24</v>
      </c>
      <c r="D74" s="194"/>
      <c r="E74" s="194"/>
      <c r="F74" s="194" t="s">
        <v>10</v>
      </c>
      <c r="G74" s="194"/>
      <c r="H74" s="194"/>
      <c r="I74" s="194"/>
    </row>
    <row r="75" spans="1:9" s="11" customFormat="1" ht="19.95" customHeight="1" x14ac:dyDescent="0.25">
      <c r="A75" s="12" t="s">
        <v>9</v>
      </c>
      <c r="B75" s="12" t="s">
        <v>18</v>
      </c>
      <c r="C75" s="20" t="s">
        <v>64</v>
      </c>
      <c r="D75" s="20" t="s">
        <v>395</v>
      </c>
      <c r="E75" s="20" t="s">
        <v>396</v>
      </c>
      <c r="F75" s="12" t="s">
        <v>30</v>
      </c>
      <c r="G75" s="12" t="s">
        <v>16</v>
      </c>
      <c r="H75" s="12" t="s">
        <v>29</v>
      </c>
      <c r="I75" s="12" t="s">
        <v>28</v>
      </c>
    </row>
    <row r="76" spans="1:9" ht="19.95" customHeight="1" x14ac:dyDescent="0.25">
      <c r="A76" s="10">
        <v>1</v>
      </c>
      <c r="B76" s="4" t="s">
        <v>27</v>
      </c>
      <c r="C76" s="23"/>
      <c r="D76" s="23"/>
      <c r="E76" s="23"/>
      <c r="F76" s="8"/>
      <c r="G76" s="8"/>
      <c r="H76" s="8"/>
      <c r="I76" s="8"/>
    </row>
    <row r="77" spans="1:9" ht="19.95" customHeight="1" x14ac:dyDescent="0.25">
      <c r="A77" s="10">
        <v>2</v>
      </c>
      <c r="B77" s="4" t="s">
        <v>21</v>
      </c>
      <c r="C77" s="23"/>
      <c r="D77" s="23"/>
      <c r="E77" s="23"/>
      <c r="F77" s="8"/>
      <c r="G77" s="8"/>
      <c r="H77" s="8"/>
      <c r="I77" s="8"/>
    </row>
    <row r="78" spans="1:9" ht="19.95" customHeight="1" x14ac:dyDescent="0.25">
      <c r="A78" s="10">
        <v>3</v>
      </c>
      <c r="B78" s="4" t="s">
        <v>26</v>
      </c>
      <c r="C78" s="23"/>
      <c r="D78" s="23"/>
      <c r="E78" s="23"/>
      <c r="F78" s="8"/>
      <c r="G78" s="8"/>
      <c r="H78" s="8"/>
      <c r="I78" s="8"/>
    </row>
    <row r="79" spans="1:9" ht="19.95" customHeight="1" x14ac:dyDescent="0.25">
      <c r="A79" s="10">
        <v>4</v>
      </c>
      <c r="B79" s="4" t="s">
        <v>3</v>
      </c>
      <c r="C79" s="23"/>
      <c r="D79" s="23"/>
      <c r="E79" s="23"/>
      <c r="F79" s="8"/>
      <c r="G79" s="8"/>
      <c r="H79" s="8"/>
      <c r="I79" s="8"/>
    </row>
    <row r="80" spans="1:9" ht="19.95" customHeight="1" x14ac:dyDescent="0.25">
      <c r="A80" s="10">
        <v>5</v>
      </c>
      <c r="B80" s="4" t="s">
        <v>25</v>
      </c>
      <c r="C80" s="23"/>
      <c r="D80" s="23"/>
      <c r="E80" s="23"/>
      <c r="F80" s="8"/>
      <c r="G80" s="8"/>
      <c r="H80" s="8"/>
      <c r="I80" s="8"/>
    </row>
    <row r="81" spans="1:14" ht="19.95" customHeight="1" x14ac:dyDescent="0.25">
      <c r="A81" s="10">
        <v>6</v>
      </c>
      <c r="B81" s="4" t="s">
        <v>412</v>
      </c>
      <c r="C81" s="23"/>
      <c r="D81" s="23"/>
      <c r="E81" s="23"/>
      <c r="F81" s="8"/>
      <c r="G81" s="8"/>
      <c r="H81" s="8"/>
      <c r="I81" s="8"/>
    </row>
    <row r="82" spans="1:14" ht="25.05" customHeight="1" x14ac:dyDescent="0.25">
      <c r="A82" s="194" t="s">
        <v>407</v>
      </c>
      <c r="B82" s="195"/>
      <c r="C82" s="7">
        <f>SUMIF('配送-测算'!A:A,"信丰",'配送-测算'!N:N)</f>
        <v>0</v>
      </c>
      <c r="D82" s="6"/>
      <c r="E82" s="6"/>
      <c r="F82" s="6"/>
      <c r="G82" s="6"/>
      <c r="H82" s="6"/>
      <c r="I82" s="5"/>
      <c r="N82" s="22"/>
    </row>
    <row r="83" spans="1:14" s="13" customFormat="1" ht="25.05" customHeight="1" x14ac:dyDescent="0.25">
      <c r="A83" s="192" t="s">
        <v>96</v>
      </c>
      <c r="B83" s="193"/>
      <c r="C83" s="194" t="s">
        <v>24</v>
      </c>
      <c r="D83" s="194"/>
      <c r="E83" s="194"/>
      <c r="F83" s="194" t="s">
        <v>10</v>
      </c>
      <c r="G83" s="194"/>
      <c r="H83" s="194"/>
      <c r="I83" s="194"/>
    </row>
    <row r="84" spans="1:14" s="19" customFormat="1" ht="19.95" customHeight="1" x14ac:dyDescent="0.25">
      <c r="A84" s="21" t="s">
        <v>9</v>
      </c>
      <c r="B84" s="21" t="s">
        <v>18</v>
      </c>
      <c r="C84" s="20" t="s">
        <v>64</v>
      </c>
      <c r="D84" s="20" t="s">
        <v>395</v>
      </c>
      <c r="E84" s="20" t="s">
        <v>396</v>
      </c>
      <c r="F84" s="20" t="s">
        <v>7</v>
      </c>
      <c r="G84" s="20" t="s">
        <v>6</v>
      </c>
      <c r="H84" s="20" t="s">
        <v>23</v>
      </c>
      <c r="I84" s="20" t="s">
        <v>14</v>
      </c>
    </row>
    <row r="85" spans="1:14" s="13" customFormat="1" ht="19.95" customHeight="1" x14ac:dyDescent="0.25">
      <c r="A85" s="18">
        <v>1</v>
      </c>
      <c r="B85" s="17" t="s">
        <v>22</v>
      </c>
      <c r="C85" s="16"/>
      <c r="D85" s="16"/>
      <c r="E85" s="16"/>
      <c r="F85" s="8"/>
      <c r="G85" s="8"/>
      <c r="H85" s="8"/>
      <c r="I85" s="8"/>
    </row>
    <row r="86" spans="1:14" s="13" customFormat="1" ht="19.95" customHeight="1" x14ac:dyDescent="0.25">
      <c r="A86" s="18">
        <v>2</v>
      </c>
      <c r="B86" s="17" t="s">
        <v>21</v>
      </c>
      <c r="C86" s="16"/>
      <c r="D86" s="16"/>
      <c r="E86" s="16"/>
      <c r="F86" s="8"/>
      <c r="G86" s="8"/>
      <c r="H86" s="8"/>
      <c r="I86" s="8"/>
    </row>
    <row r="87" spans="1:14" s="13" customFormat="1" ht="19.95" customHeight="1" x14ac:dyDescent="0.25">
      <c r="A87" s="18">
        <v>3</v>
      </c>
      <c r="B87" s="17" t="s">
        <v>11</v>
      </c>
      <c r="C87" s="16"/>
      <c r="D87" s="16"/>
      <c r="E87" s="16"/>
      <c r="F87" s="8"/>
      <c r="G87" s="8"/>
      <c r="H87" s="8"/>
      <c r="I87" s="8"/>
    </row>
    <row r="88" spans="1:14" s="13" customFormat="1" ht="19.95" customHeight="1" x14ac:dyDescent="0.25">
      <c r="A88" s="18">
        <v>4</v>
      </c>
      <c r="B88" s="17" t="s">
        <v>3</v>
      </c>
      <c r="C88" s="16"/>
      <c r="D88" s="16"/>
      <c r="E88" s="16"/>
      <c r="F88" s="8"/>
      <c r="G88" s="8"/>
      <c r="H88" s="8"/>
      <c r="I88" s="8"/>
    </row>
    <row r="89" spans="1:14" s="13" customFormat="1" ht="25.05" customHeight="1" x14ac:dyDescent="0.25">
      <c r="A89" s="184" t="s">
        <v>408</v>
      </c>
      <c r="B89" s="191"/>
      <c r="C89" s="7">
        <f>SUMIF('配送-测算'!A:A,"济南",'配送-测算'!N:N)</f>
        <v>0</v>
      </c>
      <c r="D89" s="15"/>
      <c r="E89" s="15"/>
      <c r="F89" s="15"/>
      <c r="G89" s="15"/>
      <c r="H89" s="15"/>
      <c r="I89" s="14"/>
    </row>
    <row r="90" spans="1:14" s="13" customFormat="1" ht="19.95" customHeight="1" x14ac:dyDescent="0.25">
      <c r="A90" s="192" t="s">
        <v>97</v>
      </c>
      <c r="B90" s="193"/>
      <c r="C90" s="194" t="s">
        <v>20</v>
      </c>
      <c r="D90" s="194"/>
      <c r="E90" s="194"/>
      <c r="F90" s="194" t="s">
        <v>19</v>
      </c>
      <c r="G90" s="194"/>
      <c r="H90" s="194"/>
      <c r="I90" s="194"/>
    </row>
    <row r="91" spans="1:14" s="19" customFormat="1" ht="19.95" customHeight="1" x14ac:dyDescent="0.25">
      <c r="A91" s="21" t="s">
        <v>9</v>
      </c>
      <c r="B91" s="21" t="s">
        <v>18</v>
      </c>
      <c r="C91" s="20" t="s">
        <v>64</v>
      </c>
      <c r="D91" s="20" t="s">
        <v>395</v>
      </c>
      <c r="E91" s="20" t="s">
        <v>396</v>
      </c>
      <c r="F91" s="20" t="s">
        <v>17</v>
      </c>
      <c r="G91" s="20" t="s">
        <v>16</v>
      </c>
      <c r="H91" s="20" t="s">
        <v>15</v>
      </c>
      <c r="I91" s="20" t="s">
        <v>14</v>
      </c>
    </row>
    <row r="92" spans="1:14" s="13" customFormat="1" ht="19.95" customHeight="1" x14ac:dyDescent="0.25">
      <c r="A92" s="18">
        <v>1</v>
      </c>
      <c r="B92" s="17" t="s">
        <v>13</v>
      </c>
      <c r="C92" s="16"/>
      <c r="D92" s="16"/>
      <c r="E92" s="16"/>
      <c r="F92" s="8"/>
      <c r="G92" s="8"/>
      <c r="H92" s="8"/>
      <c r="I92" s="8"/>
    </row>
    <row r="93" spans="1:14" s="13" customFormat="1" ht="19.95" customHeight="1" x14ac:dyDescent="0.25">
      <c r="A93" s="18">
        <v>2</v>
      </c>
      <c r="B93" s="17" t="s">
        <v>12</v>
      </c>
      <c r="C93" s="16"/>
      <c r="D93" s="16"/>
      <c r="E93" s="16"/>
      <c r="F93" s="8"/>
      <c r="G93" s="8"/>
      <c r="H93" s="8"/>
      <c r="I93" s="8"/>
    </row>
    <row r="94" spans="1:14" s="13" customFormat="1" ht="19.95" customHeight="1" x14ac:dyDescent="0.25">
      <c r="A94" s="18">
        <v>3</v>
      </c>
      <c r="B94" s="17" t="s">
        <v>11</v>
      </c>
      <c r="C94" s="16"/>
      <c r="D94" s="16"/>
      <c r="E94" s="16"/>
      <c r="F94" s="8"/>
      <c r="G94" s="8"/>
      <c r="H94" s="8"/>
      <c r="I94" s="8"/>
    </row>
    <row r="95" spans="1:14" s="13" customFormat="1" ht="19.95" customHeight="1" x14ac:dyDescent="0.25">
      <c r="A95" s="18">
        <v>4</v>
      </c>
      <c r="B95" s="17" t="s">
        <v>3</v>
      </c>
      <c r="C95" s="16"/>
      <c r="D95" s="16"/>
      <c r="E95" s="16"/>
      <c r="F95" s="8"/>
      <c r="G95" s="8"/>
      <c r="H95" s="8"/>
      <c r="I95" s="8"/>
    </row>
    <row r="96" spans="1:14" s="13" customFormat="1" ht="25.05" customHeight="1" x14ac:dyDescent="0.25">
      <c r="A96" s="184" t="s">
        <v>409</v>
      </c>
      <c r="B96" s="191"/>
      <c r="C96" s="7">
        <f>SUMIF('配送-测算'!A:A,"威海",'配送-测算'!N:N)</f>
        <v>0</v>
      </c>
      <c r="D96" s="15"/>
      <c r="E96" s="15"/>
      <c r="F96" s="15"/>
      <c r="G96" s="15"/>
      <c r="H96" s="15"/>
      <c r="I96" s="14"/>
    </row>
    <row r="97" spans="1:9" ht="192.6" customHeight="1" x14ac:dyDescent="0.25">
      <c r="A97" s="4" t="s">
        <v>2</v>
      </c>
      <c r="B97" s="196" t="s">
        <v>461</v>
      </c>
      <c r="C97" s="197"/>
      <c r="D97" s="197"/>
      <c r="E97" s="197"/>
      <c r="F97" s="197"/>
      <c r="G97" s="197"/>
      <c r="H97" s="197"/>
      <c r="I97" s="197"/>
    </row>
    <row r="98" spans="1:9" ht="34.950000000000003" customHeight="1" x14ac:dyDescent="0.25">
      <c r="A98" s="3" t="s">
        <v>1</v>
      </c>
      <c r="B98" s="197" t="s">
        <v>0</v>
      </c>
      <c r="C98" s="197"/>
      <c r="D98" s="197"/>
      <c r="E98" s="197"/>
      <c r="F98" s="197"/>
      <c r="G98" s="197"/>
      <c r="H98" s="197"/>
      <c r="I98" s="197"/>
    </row>
  </sheetData>
  <sheetProtection algorithmName="SHA-512" hashValue="mfYBtvZNhEQQUIvT7ZFnqe5UWvCfgc8p1dXAeNtpFPGy0TzYXdAqp2XZGZczJuoZ0Py/8m/ALzp7UgTJBASvOw==" saltValue="X6dz/3OMeLeMIhMODcJDhw==" spinCount="100000" sheet="1" formatCells="0" formatColumns="0" formatRows="0"/>
  <protectedRanges>
    <protectedRange sqref="C85:I88 C92:I95 C17:I21 C33:I37 C41:I44 C48:I51 C25:I29 C62:I65 C55:I58 C76:I81 C10:I13 C69:I72 C3:I6" name="区域1"/>
    <protectedRange sqref="C3 C3:I6 C10:I13 C17:I21 C25:I29 C33:I37 C41:I44 C48:I51 C55:I58 C62:I65 C69:I72 C76:I81 C85:I88 C92:I95" name="区域2"/>
  </protectedRanges>
  <mergeCells count="54">
    <mergeCell ref="B98:I98"/>
    <mergeCell ref="F15:I15"/>
    <mergeCell ref="A15:B15"/>
    <mergeCell ref="F8:I8"/>
    <mergeCell ref="A14:B14"/>
    <mergeCell ref="C15:E15"/>
    <mergeCell ref="A66:B66"/>
    <mergeCell ref="F60:I60"/>
    <mergeCell ref="A60:B60"/>
    <mergeCell ref="C83:E83"/>
    <mergeCell ref="C67:E67"/>
    <mergeCell ref="A73:B73"/>
    <mergeCell ref="F67:I67"/>
    <mergeCell ref="A67:B67"/>
    <mergeCell ref="A89:B89"/>
    <mergeCell ref="F83:I83"/>
    <mergeCell ref="A22:B22"/>
    <mergeCell ref="B97:I97"/>
    <mergeCell ref="C23:E23"/>
    <mergeCell ref="A30:B30"/>
    <mergeCell ref="A74:B74"/>
    <mergeCell ref="C60:E60"/>
    <mergeCell ref="C90:E90"/>
    <mergeCell ref="A96:B96"/>
    <mergeCell ref="F90:I90"/>
    <mergeCell ref="A90:B90"/>
    <mergeCell ref="F23:I23"/>
    <mergeCell ref="A23:B23"/>
    <mergeCell ref="C39:E39"/>
    <mergeCell ref="A45:B45"/>
    <mergeCell ref="F39:I39"/>
    <mergeCell ref="A39:B39"/>
    <mergeCell ref="C1:E1"/>
    <mergeCell ref="F1:I1"/>
    <mergeCell ref="A7:B7"/>
    <mergeCell ref="A1:B1"/>
    <mergeCell ref="A8:B8"/>
    <mergeCell ref="C8:E8"/>
    <mergeCell ref="A83:B83"/>
    <mergeCell ref="C74:E74"/>
    <mergeCell ref="A82:B82"/>
    <mergeCell ref="F74:I74"/>
    <mergeCell ref="A52:B52"/>
    <mergeCell ref="F46:I46"/>
    <mergeCell ref="A46:B46"/>
    <mergeCell ref="A31:B31"/>
    <mergeCell ref="A59:B59"/>
    <mergeCell ref="F53:I53"/>
    <mergeCell ref="A53:B53"/>
    <mergeCell ref="C31:E31"/>
    <mergeCell ref="A38:B38"/>
    <mergeCell ref="F31:I31"/>
    <mergeCell ref="C53:E53"/>
    <mergeCell ref="C46:E46"/>
  </mergeCells>
  <phoneticPr fontId="1"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503"/>
  <sheetViews>
    <sheetView workbookViewId="0">
      <pane ySplit="1" topLeftCell="A2" activePane="bottomLeft" state="frozen"/>
      <selection activeCell="C38" sqref="C38"/>
      <selection pane="bottomLeft" activeCell="J10" sqref="J10"/>
    </sheetView>
  </sheetViews>
  <sheetFormatPr defaultColWidth="8.6640625" defaultRowHeight="13.8" x14ac:dyDescent="0.25"/>
  <cols>
    <col min="1" max="1" width="8.6640625" style="1"/>
    <col min="2" max="2" width="9.21875" style="1" customWidth="1"/>
    <col min="3" max="3" width="8.44140625" style="2" customWidth="1"/>
    <col min="4" max="4" width="9.21875" style="1" customWidth="1"/>
    <col min="5" max="5" width="12.109375" style="36" customWidth="1"/>
    <col min="6" max="6" width="8.44140625" style="1" bestFit="1" customWidth="1"/>
    <col min="7" max="7" width="9.5546875" style="1" customWidth="1"/>
    <col min="8" max="8" width="11.44140625" style="35" bestFit="1" customWidth="1"/>
    <col min="9" max="11" width="9.44140625" style="34" customWidth="1"/>
    <col min="12" max="12" width="9.33203125" style="1" customWidth="1"/>
    <col min="13" max="13" width="10" style="33" customWidth="1"/>
    <col min="14" max="14" width="12.44140625" style="1" bestFit="1" customWidth="1"/>
    <col min="15" max="16384" width="8.6640625" style="1"/>
  </cols>
  <sheetData>
    <row r="1" spans="1:15" ht="28.05" customHeight="1" x14ac:dyDescent="0.25">
      <c r="A1" s="37" t="s">
        <v>69</v>
      </c>
      <c r="B1" s="37" t="s">
        <v>98</v>
      </c>
      <c r="C1" s="57" t="s">
        <v>73</v>
      </c>
      <c r="D1" s="37" t="s">
        <v>76</v>
      </c>
      <c r="E1" s="37" t="s">
        <v>75</v>
      </c>
      <c r="F1" s="37" t="s">
        <v>74</v>
      </c>
      <c r="G1" s="37" t="s">
        <v>415</v>
      </c>
      <c r="H1" s="64" t="s">
        <v>416</v>
      </c>
      <c r="I1" s="37">
        <v>13.5</v>
      </c>
      <c r="J1" s="37">
        <v>9.6</v>
      </c>
      <c r="K1" s="37">
        <v>6.8</v>
      </c>
      <c r="L1" s="37" t="s">
        <v>72</v>
      </c>
      <c r="M1" s="37" t="s">
        <v>71</v>
      </c>
      <c r="N1" s="37" t="s">
        <v>70</v>
      </c>
      <c r="O1" s="37"/>
    </row>
    <row r="2" spans="1:15" x14ac:dyDescent="0.25">
      <c r="A2" s="1" t="s">
        <v>99</v>
      </c>
      <c r="B2" t="s">
        <v>100</v>
      </c>
      <c r="C2" s="62">
        <f>VLOOKUP(B2,合并仓明细!$D$2:$F$74,3,0)</f>
        <v>304</v>
      </c>
      <c r="D2" t="s">
        <v>410</v>
      </c>
      <c r="E2" t="s">
        <v>246</v>
      </c>
      <c r="F2" t="s">
        <v>66</v>
      </c>
      <c r="G2">
        <v>2.4</v>
      </c>
      <c r="H2">
        <v>2.3999999999999998E-3</v>
      </c>
      <c r="I2" s="46"/>
      <c r="L2" s="37">
        <f>IF(H2&gt;30,QUOTIENT(H2,30)*VLOOKUP(D2,'报价表-配送'!$B$2:$I$6,8,0),0)+IF(AND(MOD(H2,30)&gt;18,MOD(H2,30)&lt;=30),1,0)*VLOOKUP(D2,'报价表-配送'!$B$2:$I$6,8,0)+IF(AND(MOD(H2,30)&gt;8,MOD(H2,30)&lt;=18),1*VLOOKUP(D2,'报价表-配送'!$B$2:$I$6,7,0),0)+IF(AND(MOD(H2,30)&lt;=8,MOD(H2,30)&gt;2.5),1,0)*VLOOKUP(D2,'报价表-配送'!$B$2:$I$6,6,0)+IF(AND(MOD(H2,30)&lt;=2.5,MOD(H2,30)&gt;=1.5),1,0)*VLOOKUP(D2,'报价表-配送'!$B$2:$I$6,5,0)</f>
        <v>0</v>
      </c>
      <c r="M2" s="39">
        <f>IF(AND(MOD(H2,30)&lt;1.5,MOD(H2,30)&gt;=0.5),H2,0)*VLOOKUP(D2,'报价表-配送'!$B$2:$I$6,4,0)*1000+IF(AND(MOD(H2,30)&lt;0.5,MOD(H2,30)&gt;=0.02),H2,0)*VLOOKUP(D2,'报价表-配送'!$B$2:$I$6,3,0)*1000+IF(AND(MOD(H2,30)&lt;0.02),H2,0)*VLOOKUP(D2,'报价表-配送'!$B$2:$I$6,2,0)*1000</f>
        <v>0</v>
      </c>
      <c r="N2" s="38">
        <f>SUM(I2:M2)</f>
        <v>0</v>
      </c>
    </row>
    <row r="3" spans="1:15" x14ac:dyDescent="0.25">
      <c r="A3" s="1" t="s">
        <v>99</v>
      </c>
      <c r="B3" t="s">
        <v>100</v>
      </c>
      <c r="C3" s="62">
        <f>VLOOKUP(B3,合并仓明细!$D$2:$F$74,3,0)</f>
        <v>304</v>
      </c>
      <c r="D3" t="s">
        <v>410</v>
      </c>
      <c r="E3" t="s">
        <v>247</v>
      </c>
      <c r="F3" t="s">
        <v>68</v>
      </c>
      <c r="G3">
        <v>104.73599999999999</v>
      </c>
      <c r="H3">
        <v>1.1910056599099998</v>
      </c>
      <c r="I3" s="46">
        <f>ROUNDUP(H3/30,0)*VLOOKUP(D3,'报价表-配送'!$B$2:$I$6,8,0)</f>
        <v>0</v>
      </c>
      <c r="N3" s="38">
        <f t="shared" ref="N3:N75" si="0">SUM(I3:M3)</f>
        <v>0</v>
      </c>
    </row>
    <row r="4" spans="1:15" x14ac:dyDescent="0.25">
      <c r="A4" s="1" t="s">
        <v>99</v>
      </c>
      <c r="B4" t="s">
        <v>100</v>
      </c>
      <c r="C4" s="62">
        <f>VLOOKUP(B4,合并仓明细!$D$2:$F$74,3,0)</f>
        <v>304</v>
      </c>
      <c r="D4" t="s">
        <v>410</v>
      </c>
      <c r="E4" t="s">
        <v>247</v>
      </c>
      <c r="F4" t="s">
        <v>67</v>
      </c>
      <c r="G4">
        <v>934.06716000000006</v>
      </c>
      <c r="H4"/>
      <c r="I4" s="46"/>
      <c r="N4" s="38">
        <f t="shared" si="0"/>
        <v>0</v>
      </c>
    </row>
    <row r="5" spans="1:15" x14ac:dyDescent="0.25">
      <c r="A5" s="1" t="s">
        <v>99</v>
      </c>
      <c r="B5" t="s">
        <v>100</v>
      </c>
      <c r="C5" s="62">
        <f>VLOOKUP(B5,合并仓明细!$D$2:$F$74,3,0)</f>
        <v>304</v>
      </c>
      <c r="D5" t="s">
        <v>410</v>
      </c>
      <c r="E5" t="s">
        <v>247</v>
      </c>
      <c r="F5" t="s">
        <v>66</v>
      </c>
      <c r="G5">
        <v>152.20249991000003</v>
      </c>
      <c r="H5"/>
      <c r="N5" s="38">
        <f t="shared" si="0"/>
        <v>0</v>
      </c>
    </row>
    <row r="6" spans="1:15" x14ac:dyDescent="0.25">
      <c r="A6" s="1" t="s">
        <v>99</v>
      </c>
      <c r="B6" t="s">
        <v>100</v>
      </c>
      <c r="C6" s="62">
        <f>VLOOKUP(B6,合并仓明细!$D$2:$F$74,3,0)</f>
        <v>304</v>
      </c>
      <c r="D6" t="s">
        <v>410</v>
      </c>
      <c r="E6" t="s">
        <v>248</v>
      </c>
      <c r="F6" t="s">
        <v>68</v>
      </c>
      <c r="G6">
        <v>460.75524000000001</v>
      </c>
      <c r="H6">
        <v>6.5301381061300017</v>
      </c>
      <c r="I6" s="46">
        <f>ROUNDUP(H6/30,0)*VLOOKUP(D6,'报价表-配送'!$B$2:$I$6,8,0)</f>
        <v>0</v>
      </c>
      <c r="N6" s="38">
        <f t="shared" si="0"/>
        <v>0</v>
      </c>
    </row>
    <row r="7" spans="1:15" x14ac:dyDescent="0.25">
      <c r="A7" s="1" t="s">
        <v>99</v>
      </c>
      <c r="B7" t="s">
        <v>100</v>
      </c>
      <c r="C7" s="62">
        <f>VLOOKUP(B7,合并仓明细!$D$2:$F$74,3,0)</f>
        <v>304</v>
      </c>
      <c r="D7" t="s">
        <v>410</v>
      </c>
      <c r="E7" t="s">
        <v>248</v>
      </c>
      <c r="F7" t="s">
        <v>67</v>
      </c>
      <c r="G7">
        <v>4190.8456995000006</v>
      </c>
      <c r="H7"/>
      <c r="N7" s="38">
        <f t="shared" si="0"/>
        <v>0</v>
      </c>
    </row>
    <row r="8" spans="1:15" x14ac:dyDescent="0.25">
      <c r="A8" s="1" t="s">
        <v>99</v>
      </c>
      <c r="B8" t="s">
        <v>100</v>
      </c>
      <c r="C8" s="62">
        <f>VLOOKUP(B8,合并仓明细!$D$2:$F$74,3,0)</f>
        <v>304</v>
      </c>
      <c r="D8" t="s">
        <v>410</v>
      </c>
      <c r="E8" t="s">
        <v>248</v>
      </c>
      <c r="F8" t="s">
        <v>66</v>
      </c>
      <c r="G8">
        <v>1878.5371666300002</v>
      </c>
      <c r="H8"/>
      <c r="N8" s="38">
        <f t="shared" si="0"/>
        <v>0</v>
      </c>
    </row>
    <row r="9" spans="1:15" x14ac:dyDescent="0.25">
      <c r="A9" s="1" t="s">
        <v>99</v>
      </c>
      <c r="B9" t="s">
        <v>100</v>
      </c>
      <c r="C9" s="62">
        <f>VLOOKUP(B9,合并仓明细!$D$2:$F$74,3,0)</f>
        <v>304</v>
      </c>
      <c r="D9" t="s">
        <v>410</v>
      </c>
      <c r="E9" t="s">
        <v>249</v>
      </c>
      <c r="F9" t="s">
        <v>68</v>
      </c>
      <c r="G9">
        <v>25.542960000000001</v>
      </c>
      <c r="H9">
        <v>2.8600517708100002</v>
      </c>
      <c r="I9" s="46">
        <f>ROUNDUP(H9/30,0)*VLOOKUP(D9,'报价表-配送'!$B$2:$I$6,8,0)</f>
        <v>0</v>
      </c>
      <c r="N9" s="38">
        <f t="shared" si="0"/>
        <v>0</v>
      </c>
    </row>
    <row r="10" spans="1:15" x14ac:dyDescent="0.25">
      <c r="A10" s="1" t="s">
        <v>99</v>
      </c>
      <c r="B10" t="s">
        <v>100</v>
      </c>
      <c r="C10" s="62">
        <f>VLOOKUP(B10,合并仓明细!$D$2:$F$74,3,0)</f>
        <v>304</v>
      </c>
      <c r="D10" t="s">
        <v>410</v>
      </c>
      <c r="E10" t="s">
        <v>249</v>
      </c>
      <c r="F10" t="s">
        <v>67</v>
      </c>
      <c r="G10">
        <v>1828.9096440000001</v>
      </c>
      <c r="H10"/>
      <c r="N10" s="38">
        <f t="shared" si="0"/>
        <v>0</v>
      </c>
    </row>
    <row r="11" spans="1:15" x14ac:dyDescent="0.25">
      <c r="A11" s="1" t="s">
        <v>99</v>
      </c>
      <c r="B11" t="s">
        <v>100</v>
      </c>
      <c r="C11" s="62">
        <f>VLOOKUP(B11,合并仓明细!$D$2:$F$74,3,0)</f>
        <v>304</v>
      </c>
      <c r="D11" t="s">
        <v>410</v>
      </c>
      <c r="E11" t="s">
        <v>249</v>
      </c>
      <c r="F11" t="s">
        <v>66</v>
      </c>
      <c r="G11">
        <v>1005.59916681</v>
      </c>
      <c r="H11"/>
      <c r="I11" s="46"/>
      <c r="N11" s="38">
        <f t="shared" si="0"/>
        <v>0</v>
      </c>
    </row>
    <row r="12" spans="1:15" x14ac:dyDescent="0.25">
      <c r="A12" s="1" t="s">
        <v>99</v>
      </c>
      <c r="B12" t="s">
        <v>100</v>
      </c>
      <c r="C12" s="62">
        <f>VLOOKUP(B12,合并仓明细!$D$2:$F$74,3,0)</f>
        <v>304</v>
      </c>
      <c r="D12" t="s">
        <v>410</v>
      </c>
      <c r="E12" t="s">
        <v>250</v>
      </c>
      <c r="F12" t="s">
        <v>68</v>
      </c>
      <c r="G12">
        <v>17.591999999999999</v>
      </c>
      <c r="H12">
        <v>0.88433785263999998</v>
      </c>
      <c r="I12" s="46">
        <f>ROUNDUP(H12/30,0)*VLOOKUP(D12,'报价表-配送'!$B$2:$I$6,8,0)</f>
        <v>0</v>
      </c>
      <c r="N12" s="38">
        <f t="shared" si="0"/>
        <v>0</v>
      </c>
    </row>
    <row r="13" spans="1:15" x14ac:dyDescent="0.25">
      <c r="A13" s="1" t="s">
        <v>99</v>
      </c>
      <c r="B13" t="s">
        <v>100</v>
      </c>
      <c r="C13" s="62">
        <f>VLOOKUP(B13,合并仓明细!$D$2:$F$74,3,0)</f>
        <v>304</v>
      </c>
      <c r="D13" t="s">
        <v>410</v>
      </c>
      <c r="E13" t="s">
        <v>250</v>
      </c>
      <c r="F13" t="s">
        <v>67</v>
      </c>
      <c r="G13">
        <v>365.53118599999999</v>
      </c>
      <c r="H13"/>
      <c r="N13" s="38">
        <f t="shared" si="0"/>
        <v>0</v>
      </c>
    </row>
    <row r="14" spans="1:15" x14ac:dyDescent="0.25">
      <c r="A14" s="1" t="s">
        <v>99</v>
      </c>
      <c r="B14" t="s">
        <v>100</v>
      </c>
      <c r="C14" s="62">
        <f>VLOOKUP(B14,合并仓明细!$D$2:$F$74,3,0)</f>
        <v>304</v>
      </c>
      <c r="D14" t="s">
        <v>410</v>
      </c>
      <c r="E14" t="s">
        <v>250</v>
      </c>
      <c r="F14" t="s">
        <v>66</v>
      </c>
      <c r="G14">
        <v>501.2146666399999</v>
      </c>
      <c r="H14"/>
      <c r="I14" s="38"/>
      <c r="J14" s="38"/>
      <c r="K14" s="38"/>
      <c r="L14" s="37"/>
      <c r="M14" s="37"/>
      <c r="N14" s="38">
        <f t="shared" si="0"/>
        <v>0</v>
      </c>
    </row>
    <row r="15" spans="1:15" x14ac:dyDescent="0.25">
      <c r="A15" s="1" t="s">
        <v>99</v>
      </c>
      <c r="B15" t="s">
        <v>100</v>
      </c>
      <c r="C15" s="62">
        <f>VLOOKUP(B15,合并仓明细!$D$2:$F$74,3,0)</f>
        <v>304</v>
      </c>
      <c r="D15" t="s">
        <v>410</v>
      </c>
      <c r="E15" t="s">
        <v>251</v>
      </c>
      <c r="F15" t="s">
        <v>67</v>
      </c>
      <c r="G15">
        <v>238.61699499999997</v>
      </c>
      <c r="H15">
        <v>1.6696403283199996</v>
      </c>
      <c r="I15" s="38">
        <f>IF(H15&gt;30,QUOTIENT(H15,30)*VLOOKUP(D15,'报价表-配送'!$B$2:$I$6,8,0),0)+IF(AND(MOD(H15,30)&gt;18,MOD(H15,30)&lt;=30),1,0)*VLOOKUP(D15,'报价表-配送'!$B$2:$I$6,8,0)</f>
        <v>0</v>
      </c>
      <c r="J15" s="38">
        <f>IF(AND(MOD(H15,30)&gt;8,MOD(H15,30)&lt;=18),1*VLOOKUP(D15,'报价表-配送'!$B$2:$I$6,7,0),0)</f>
        <v>0</v>
      </c>
      <c r="K15" s="38">
        <f>IF(AND(MOD(H15,30)&lt;=8,MOD(H15,30)&gt;0),1,0)*VLOOKUP(D15,'报价表-配送'!$B$2:$I$6,6,0)</f>
        <v>0</v>
      </c>
      <c r="N15" s="38">
        <f t="shared" si="0"/>
        <v>0</v>
      </c>
    </row>
    <row r="16" spans="1:15" x14ac:dyDescent="0.25">
      <c r="A16" s="1" t="s">
        <v>99</v>
      </c>
      <c r="B16" t="s">
        <v>100</v>
      </c>
      <c r="C16" s="62">
        <f>VLOOKUP(B16,合并仓明细!$D$2:$F$74,3,0)</f>
        <v>304</v>
      </c>
      <c r="D16" t="s">
        <v>410</v>
      </c>
      <c r="E16" t="s">
        <v>251</v>
      </c>
      <c r="F16" t="s">
        <v>66</v>
      </c>
      <c r="G16">
        <v>1431.0233333199997</v>
      </c>
      <c r="H16"/>
      <c r="L16" s="37"/>
      <c r="M16" s="39"/>
      <c r="N16" s="38">
        <f t="shared" si="0"/>
        <v>0</v>
      </c>
    </row>
    <row r="17" spans="1:14" x14ac:dyDescent="0.25">
      <c r="A17" s="1" t="s">
        <v>99</v>
      </c>
      <c r="B17" t="s">
        <v>100</v>
      </c>
      <c r="C17" s="62">
        <f>VLOOKUP(B17,合并仓明细!$D$2:$F$74,3,0)</f>
        <v>304</v>
      </c>
      <c r="D17" t="s">
        <v>410</v>
      </c>
      <c r="E17" t="s">
        <v>252</v>
      </c>
      <c r="F17" t="s">
        <v>68</v>
      </c>
      <c r="G17">
        <v>945.27599999999984</v>
      </c>
      <c r="H17">
        <v>5.2175493431</v>
      </c>
      <c r="I17" s="46">
        <f>ROUNDUP(H17/30,0)*VLOOKUP(D17,'报价表-配送'!$B$2:$I$6,8,0)</f>
        <v>0</v>
      </c>
      <c r="N17" s="38">
        <f t="shared" si="0"/>
        <v>0</v>
      </c>
    </row>
    <row r="18" spans="1:14" x14ac:dyDescent="0.25">
      <c r="A18" s="1" t="s">
        <v>99</v>
      </c>
      <c r="B18" t="s">
        <v>100</v>
      </c>
      <c r="C18" s="62">
        <f>VLOOKUP(B18,合并仓明细!$D$2:$F$74,3,0)</f>
        <v>304</v>
      </c>
      <c r="D18" t="s">
        <v>410</v>
      </c>
      <c r="E18" t="s">
        <v>252</v>
      </c>
      <c r="F18" t="s">
        <v>67</v>
      </c>
      <c r="G18">
        <v>3844.9969080000001</v>
      </c>
      <c r="H18"/>
      <c r="N18" s="38">
        <f t="shared" si="0"/>
        <v>0</v>
      </c>
    </row>
    <row r="19" spans="1:14" x14ac:dyDescent="0.25">
      <c r="A19" s="1" t="s">
        <v>99</v>
      </c>
      <c r="B19" t="s">
        <v>100</v>
      </c>
      <c r="C19" s="62">
        <f>VLOOKUP(B19,合并仓明细!$D$2:$F$74,3,0)</f>
        <v>304</v>
      </c>
      <c r="D19" t="s">
        <v>410</v>
      </c>
      <c r="E19" t="s">
        <v>252</v>
      </c>
      <c r="F19" t="s">
        <v>66</v>
      </c>
      <c r="G19">
        <v>427.27643509999996</v>
      </c>
      <c r="H19"/>
      <c r="N19" s="38">
        <f t="shared" si="0"/>
        <v>0</v>
      </c>
    </row>
    <row r="20" spans="1:14" x14ac:dyDescent="0.25">
      <c r="A20" s="1" t="s">
        <v>99</v>
      </c>
      <c r="B20" t="s">
        <v>100</v>
      </c>
      <c r="C20" s="62">
        <f>VLOOKUP(B20,合并仓明细!$D$2:$F$74,3,0)</f>
        <v>304</v>
      </c>
      <c r="D20" t="s">
        <v>410</v>
      </c>
      <c r="E20" t="s">
        <v>253</v>
      </c>
      <c r="F20" t="s">
        <v>68</v>
      </c>
      <c r="G20">
        <v>3931.3319999999999</v>
      </c>
      <c r="H20">
        <v>3.9534194999999999</v>
      </c>
      <c r="I20" s="46">
        <f>ROUNDUP(H20/30,0)*VLOOKUP(D20,'报价表-配送'!$B$2:$I$6,8,0)</f>
        <v>0</v>
      </c>
      <c r="N20" s="38">
        <f t="shared" si="0"/>
        <v>0</v>
      </c>
    </row>
    <row r="21" spans="1:14" x14ac:dyDescent="0.25">
      <c r="A21" s="1" t="s">
        <v>99</v>
      </c>
      <c r="B21" t="s">
        <v>100</v>
      </c>
      <c r="C21" s="62">
        <f>VLOOKUP(B21,合并仓明细!$D$2:$F$74,3,0)</f>
        <v>304</v>
      </c>
      <c r="D21" t="s">
        <v>410</v>
      </c>
      <c r="E21" t="s">
        <v>253</v>
      </c>
      <c r="F21" t="s">
        <v>66</v>
      </c>
      <c r="G21">
        <v>22.087499999999999</v>
      </c>
      <c r="H21"/>
      <c r="N21" s="38">
        <f t="shared" si="0"/>
        <v>0</v>
      </c>
    </row>
    <row r="22" spans="1:14" x14ac:dyDescent="0.25">
      <c r="A22" s="1" t="s">
        <v>99</v>
      </c>
      <c r="B22" t="s">
        <v>100</v>
      </c>
      <c r="C22" s="62">
        <f>VLOOKUP(B22,合并仓明细!$D$2:$F$74,3,0)</f>
        <v>304</v>
      </c>
      <c r="D22" t="s">
        <v>410</v>
      </c>
      <c r="E22" t="s">
        <v>254</v>
      </c>
      <c r="F22" t="s">
        <v>66</v>
      </c>
      <c r="G22">
        <v>11.315</v>
      </c>
      <c r="H22">
        <v>1.1314999999999999E-2</v>
      </c>
      <c r="L22" s="37">
        <f>IF(H22&gt;30,QUOTIENT(H22,30)*VLOOKUP(D22,'报价表-配送'!$B$2:$I$6,8,0),0)+IF(AND(MOD(H22,30)&gt;18,MOD(H22,30)&lt;=30),1,0)*VLOOKUP(D22,'报价表-配送'!$B$2:$I$6,8,0)+IF(AND(MOD(H22,30)&gt;8,MOD(H22,30)&lt;=18),1*VLOOKUP(D22,'报价表-配送'!$B$2:$I$6,7,0),0)+IF(AND(MOD(H22,30)&lt;=8,MOD(H22,30)&gt;2.5),1,0)*VLOOKUP(D22,'报价表-配送'!$B$2:$I$6,6,0)+IF(AND(MOD(H22,30)&lt;=2.5,MOD(H22,30)&gt;=1.5),1,0)*VLOOKUP(D22,'报价表-配送'!$B$2:$I$6,5,0)</f>
        <v>0</v>
      </c>
      <c r="M22" s="39">
        <f>IF(AND(MOD(H22,30)&lt;1.5,MOD(H22,30)&gt;=0.5),H22,0)*VLOOKUP(D22,'报价表-配送'!$B$2:$I$6,4,0)*1000+IF(AND(MOD(H22,30)&lt;0.5,MOD(H22,30)&gt;=0.02),H22,0)*VLOOKUP(D22,'报价表-配送'!$B$2:$I$6,3,0)*1000+IF(AND(MOD(H22,30)&lt;0.02),H22,0)*VLOOKUP(D22,'报价表-配送'!$B$2:$I$6,2,0)*1000</f>
        <v>0</v>
      </c>
      <c r="N22" s="38">
        <f t="shared" si="0"/>
        <v>0</v>
      </c>
    </row>
    <row r="23" spans="1:14" x14ac:dyDescent="0.25">
      <c r="A23" s="1" t="s">
        <v>99</v>
      </c>
      <c r="B23" t="s">
        <v>100</v>
      </c>
      <c r="C23" s="62">
        <f>VLOOKUP(B23,合并仓明细!$D$2:$F$74,3,0)</f>
        <v>304</v>
      </c>
      <c r="D23" t="s">
        <v>410</v>
      </c>
      <c r="E23" t="s">
        <v>255</v>
      </c>
      <c r="F23" t="s">
        <v>68</v>
      </c>
      <c r="G23">
        <v>35.183999999999997</v>
      </c>
      <c r="H23">
        <v>1.0371571449699999</v>
      </c>
      <c r="I23" s="46">
        <f>ROUNDUP(H23/30,0)*VLOOKUP(D23,'报价表-配送'!$B$2:$I$6,8,0)</f>
        <v>0</v>
      </c>
      <c r="N23" s="38">
        <f t="shared" si="0"/>
        <v>0</v>
      </c>
    </row>
    <row r="24" spans="1:14" x14ac:dyDescent="0.25">
      <c r="A24" s="1" t="s">
        <v>99</v>
      </c>
      <c r="B24" t="s">
        <v>100</v>
      </c>
      <c r="C24" s="62">
        <f>VLOOKUP(B24,合并仓明细!$D$2:$F$74,3,0)</f>
        <v>304</v>
      </c>
      <c r="D24" t="s">
        <v>410</v>
      </c>
      <c r="E24" t="s">
        <v>255</v>
      </c>
      <c r="F24" t="s">
        <v>67</v>
      </c>
      <c r="G24">
        <v>622.08714500000008</v>
      </c>
      <c r="H24"/>
      <c r="N24" s="38">
        <f t="shared" si="0"/>
        <v>0</v>
      </c>
    </row>
    <row r="25" spans="1:14" x14ac:dyDescent="0.25">
      <c r="A25" s="1" t="s">
        <v>99</v>
      </c>
      <c r="B25" t="s">
        <v>100</v>
      </c>
      <c r="C25" s="62">
        <f>VLOOKUP(B25,合并仓明细!$D$2:$F$74,3,0)</f>
        <v>304</v>
      </c>
      <c r="D25" t="s">
        <v>410</v>
      </c>
      <c r="E25" t="s">
        <v>255</v>
      </c>
      <c r="F25" t="s">
        <v>66</v>
      </c>
      <c r="G25">
        <v>379.88599997</v>
      </c>
      <c r="H25"/>
      <c r="N25" s="38">
        <f t="shared" si="0"/>
        <v>0</v>
      </c>
    </row>
    <row r="26" spans="1:14" x14ac:dyDescent="0.25">
      <c r="A26" s="104" t="s">
        <v>99</v>
      </c>
      <c r="B26" s="103" t="s">
        <v>100</v>
      </c>
      <c r="C26" s="62">
        <f>VLOOKUP(B26,合并仓明细!$D$2:$F$74,3,0)</f>
        <v>304</v>
      </c>
      <c r="D26" s="103" t="s">
        <v>410</v>
      </c>
      <c r="E26" s="103" t="s">
        <v>255</v>
      </c>
      <c r="F26" s="103" t="s">
        <v>67</v>
      </c>
      <c r="G26">
        <v>39000</v>
      </c>
      <c r="H26">
        <v>39</v>
      </c>
      <c r="I26" s="38">
        <f>IF(H26&gt;30,QUOTIENT(H26,30)*VLOOKUP(D26,'报价表-配送'!$B$2:$I$6,8,0),0)+IF(AND(MOD(H26,30)&gt;18,MOD(H26,30)&lt;=30),1,0)*VLOOKUP(D26,'报价表-配送'!$B$2:$I$6,8,0)</f>
        <v>0</v>
      </c>
      <c r="J26" s="38">
        <f>IF(AND(MOD(H26,30)&gt;8,MOD(H26,30)&lt;=18),1*VLOOKUP(D26,'报价表-配送'!$B$2:$I$6,7,0),0)</f>
        <v>0</v>
      </c>
      <c r="K26" s="38">
        <f>IF(AND(MOD(H26,30)&lt;=8,MOD(H26,30)&gt;0),1,0)*VLOOKUP(D26,'报价表-配送'!$B$2:$I$6,6,0)</f>
        <v>0</v>
      </c>
      <c r="N26" s="38">
        <f t="shared" si="0"/>
        <v>0</v>
      </c>
    </row>
    <row r="27" spans="1:14" x14ac:dyDescent="0.25">
      <c r="A27" s="104" t="s">
        <v>99</v>
      </c>
      <c r="B27" s="103" t="s">
        <v>100</v>
      </c>
      <c r="C27" s="62">
        <f>VLOOKUP(B27,合并仓明细!$D$2:$F$74,3,0)</f>
        <v>304</v>
      </c>
      <c r="D27" s="103" t="s">
        <v>410</v>
      </c>
      <c r="E27" s="103" t="s">
        <v>255</v>
      </c>
      <c r="F27" s="103" t="s">
        <v>66</v>
      </c>
      <c r="G27">
        <v>1501</v>
      </c>
      <c r="H27">
        <v>1.5009999999999999</v>
      </c>
      <c r="L27" s="37">
        <f>IF(H27&gt;30,QUOTIENT(H27,30)*VLOOKUP(D27,'报价表-配送'!$B$2:$I$6,8,0),0)+IF(AND(MOD(H27,30)&gt;18,MOD(H27,30)&lt;=30),1,0)*VLOOKUP(D27,'报价表-配送'!$B$2:$I$6,8,0)+IF(AND(MOD(H27,30)&gt;8,MOD(H27,30)&lt;=18),1*VLOOKUP(D27,'报价表-配送'!$B$2:$I$6,7,0),0)+IF(AND(MOD(H27,30)&lt;=8,MOD(H27,30)&gt;2.5),1,0)*VLOOKUP(D27,'报价表-配送'!$B$2:$I$6,6,0)+IF(AND(MOD(H27,30)&lt;=2.5,MOD(H27,30)&gt;=1.5),1,0)*VLOOKUP(D27,'报价表-配送'!$B$2:$I$6,5,0)</f>
        <v>0</v>
      </c>
      <c r="M27" s="39">
        <f>IF(AND(MOD(H27,30)&lt;1.5,MOD(H27,30)&gt;=0.5),H27,0)*VLOOKUP(D27,'报价表-配送'!$B$2:$I$6,4,0)*1000+IF(AND(MOD(H27,30)&lt;0.5,MOD(H27,30)&gt;=0.02),H27,0)*VLOOKUP(D27,'报价表-配送'!$B$2:$I$6,3,0)*1000+IF(AND(MOD(H27,30)&lt;0.02),H27,0)*VLOOKUP(D27,'报价表-配送'!$B$2:$I$6,2,0)*1000</f>
        <v>0</v>
      </c>
      <c r="N27" s="38">
        <f t="shared" si="0"/>
        <v>0</v>
      </c>
    </row>
    <row r="28" spans="1:14" x14ac:dyDescent="0.25">
      <c r="A28" s="104" t="s">
        <v>99</v>
      </c>
      <c r="B28" s="103" t="s">
        <v>100</v>
      </c>
      <c r="C28" s="62">
        <f>VLOOKUP(B28,合并仓明细!$D$2:$F$74,3,0)</f>
        <v>304</v>
      </c>
      <c r="D28" s="103" t="s">
        <v>410</v>
      </c>
      <c r="E28" s="103" t="s">
        <v>255</v>
      </c>
      <c r="F28" s="103" t="s">
        <v>66</v>
      </c>
      <c r="G28">
        <v>501</v>
      </c>
      <c r="H28">
        <v>0.501</v>
      </c>
      <c r="L28" s="37">
        <f>IF(H28&gt;30,QUOTIENT(H28,30)*VLOOKUP(D28,'报价表-配送'!$B$2:$I$6,8,0),0)+IF(AND(MOD(H28,30)&gt;18,MOD(H28,30)&lt;=30),1,0)*VLOOKUP(D28,'报价表-配送'!$B$2:$I$6,8,0)+IF(AND(MOD(H28,30)&gt;8,MOD(H28,30)&lt;=18),1*VLOOKUP(D28,'报价表-配送'!$B$2:$I$6,7,0),0)+IF(AND(MOD(H28,30)&lt;=8,MOD(H28,30)&gt;2.5),1,0)*VLOOKUP(D28,'报价表-配送'!$B$2:$I$6,6,0)+IF(AND(MOD(H28,30)&lt;=2.5,MOD(H28,30)&gt;=1.5),1,0)*VLOOKUP(D28,'报价表-配送'!$B$2:$I$6,5,0)</f>
        <v>0</v>
      </c>
      <c r="M28" s="39">
        <f>IF(AND(MOD(H28,30)&lt;1.5,MOD(H28,30)&gt;=0.5),H28,0)*VLOOKUP(D28,'报价表-配送'!$B$2:$I$6,4,0)*1000+IF(AND(MOD(H28,30)&lt;0.5,MOD(H28,30)&gt;=0.02),H28,0)*VLOOKUP(D28,'报价表-配送'!$B$2:$I$6,3,0)*1000+IF(AND(MOD(H28,30)&lt;0.02),H28,0)*VLOOKUP(D28,'报价表-配送'!$B$2:$I$6,2,0)*1000</f>
        <v>0</v>
      </c>
      <c r="N28" s="38">
        <f t="shared" si="0"/>
        <v>0</v>
      </c>
    </row>
    <row r="29" spans="1:14" x14ac:dyDescent="0.25">
      <c r="A29" s="104" t="s">
        <v>99</v>
      </c>
      <c r="B29" s="103" t="s">
        <v>100</v>
      </c>
      <c r="C29" s="62">
        <f>VLOOKUP(B29,合并仓明细!$D$2:$F$74,3,0)</f>
        <v>304</v>
      </c>
      <c r="D29" s="103" t="s">
        <v>512</v>
      </c>
      <c r="E29" s="103" t="s">
        <v>255</v>
      </c>
      <c r="F29" s="103" t="s">
        <v>67</v>
      </c>
      <c r="G29">
        <v>39000</v>
      </c>
      <c r="H29">
        <v>39</v>
      </c>
      <c r="I29" s="38">
        <f>IF(H29&gt;30,QUOTIENT(H29,30)*VLOOKUP(D29,'报价表-配送'!$B$2:$I$6,8,0),0)+IF(AND(MOD(H29,30)&gt;18,MOD(H29,30)&lt;=30),1,0)*VLOOKUP(D29,'报价表-配送'!$B$2:$I$6,8,0)</f>
        <v>0</v>
      </c>
      <c r="J29" s="38">
        <f>IF(AND(MOD(H29,30)&gt;8,MOD(H29,30)&lt;=18),1*VLOOKUP(D29,'报价表-配送'!$B$2:$I$6,7,0),0)</f>
        <v>0</v>
      </c>
      <c r="K29" s="38">
        <f>IF(AND(MOD(H29,30)&lt;=8,MOD(H29,30)&gt;0),1,0)*VLOOKUP(D29,'报价表-配送'!$B$2:$I$6,6,0)</f>
        <v>0</v>
      </c>
      <c r="N29" s="38">
        <f t="shared" si="0"/>
        <v>0</v>
      </c>
    </row>
    <row r="30" spans="1:14" x14ac:dyDescent="0.25">
      <c r="A30" s="104" t="s">
        <v>99</v>
      </c>
      <c r="B30" s="103" t="s">
        <v>100</v>
      </c>
      <c r="C30" s="62">
        <f>VLOOKUP(B30,合并仓明细!$D$2:$F$74,3,0)</f>
        <v>304</v>
      </c>
      <c r="D30" s="103" t="s">
        <v>512</v>
      </c>
      <c r="E30" s="103" t="s">
        <v>255</v>
      </c>
      <c r="F30" s="103" t="s">
        <v>67</v>
      </c>
      <c r="G30">
        <v>8000</v>
      </c>
      <c r="H30">
        <v>8</v>
      </c>
      <c r="I30" s="38">
        <f>IF(H30&gt;30,QUOTIENT(H30,30)*VLOOKUP(D30,'报价表-配送'!$B$2:$I$6,8,0),0)+IF(AND(MOD(H30,30)&gt;18,MOD(H30,30)&lt;=30),1,0)*VLOOKUP(D30,'报价表-配送'!$B$2:$I$6,8,0)</f>
        <v>0</v>
      </c>
      <c r="J30" s="38">
        <f>IF(AND(MOD(H30,30)&gt;8,MOD(H30,30)&lt;=18),1*VLOOKUP(D30,'报价表-配送'!$B$2:$I$6,7,0),0)</f>
        <v>0</v>
      </c>
      <c r="K30" s="38">
        <f>IF(AND(MOD(H30,30)&lt;=8,MOD(H30,30)&gt;0),1,0)*VLOOKUP(D30,'报价表-配送'!$B$2:$I$6,6,0)</f>
        <v>0</v>
      </c>
      <c r="N30" s="38">
        <f t="shared" si="0"/>
        <v>0</v>
      </c>
    </row>
    <row r="31" spans="1:14" x14ac:dyDescent="0.25">
      <c r="A31" s="104" t="s">
        <v>99</v>
      </c>
      <c r="B31" s="103" t="s">
        <v>100</v>
      </c>
      <c r="C31" s="62">
        <f>VLOOKUP(B31,合并仓明细!$D$2:$F$74,3,0)</f>
        <v>304</v>
      </c>
      <c r="D31" s="103" t="s">
        <v>512</v>
      </c>
      <c r="E31" s="103" t="s">
        <v>255</v>
      </c>
      <c r="F31" s="105" t="s">
        <v>66</v>
      </c>
      <c r="G31">
        <v>2500</v>
      </c>
      <c r="H31">
        <v>2.5</v>
      </c>
      <c r="L31" s="37">
        <f>IF(H31&gt;30,QUOTIENT(H31,30)*VLOOKUP(D31,'报价表-配送'!$B$2:$I$6,8,0),0)+IF(AND(MOD(H31,30)&gt;18,MOD(H31,30)&lt;=30),1,0)*VLOOKUP(D31,'报价表-配送'!$B$2:$I$6,8,0)+IF(AND(MOD(H31,30)&gt;8,MOD(H31,30)&lt;=18),1*VLOOKUP(D31,'报价表-配送'!$B$2:$I$6,7,0),0)+IF(AND(MOD(H31,30)&lt;=8,MOD(H31,30)&gt;2.5),1,0)*VLOOKUP(D31,'报价表-配送'!$B$2:$I$6,6,0)+IF(AND(MOD(H31,30)&lt;=2.5,MOD(H31,30)&gt;=1.5),1,0)*VLOOKUP(D31,'报价表-配送'!$B$2:$I$6,5,0)</f>
        <v>0</v>
      </c>
      <c r="M31" s="39">
        <f>IF(AND(MOD(H31,30)&lt;1.5,MOD(H31,30)&gt;=0.5),H31,0)*VLOOKUP(D31,'报价表-配送'!$B$2:$I$6,4,0)*1000+IF(AND(MOD(H31,30)&lt;0.5,MOD(H31,30)&gt;=0.02),H31,0)*VLOOKUP(D31,'报价表-配送'!$B$2:$I$6,3,0)*1000+IF(AND(MOD(H31,30)&lt;0.02),H31,0)*VLOOKUP(D31,'报价表-配送'!$B$2:$I$6,2,0)*1000</f>
        <v>0</v>
      </c>
      <c r="N31" s="38">
        <f t="shared" si="0"/>
        <v>0</v>
      </c>
    </row>
    <row r="32" spans="1:14" x14ac:dyDescent="0.25">
      <c r="A32" s="104" t="s">
        <v>99</v>
      </c>
      <c r="B32" s="103" t="s">
        <v>100</v>
      </c>
      <c r="C32" s="62">
        <f>VLOOKUP(B32,合并仓明细!$D$2:$F$74,3,0)</f>
        <v>304</v>
      </c>
      <c r="D32" s="103" t="s">
        <v>512</v>
      </c>
      <c r="E32" s="103" t="s">
        <v>255</v>
      </c>
      <c r="F32" s="105" t="s">
        <v>66</v>
      </c>
      <c r="G32">
        <v>1000</v>
      </c>
      <c r="H32">
        <v>1</v>
      </c>
      <c r="L32" s="37">
        <f>IF(H32&gt;30,QUOTIENT(H32,30)*VLOOKUP(D32,'报价表-配送'!$B$2:$I$6,8,0),0)+IF(AND(MOD(H32,30)&gt;18,MOD(H32,30)&lt;=30),1,0)*VLOOKUP(D32,'报价表-配送'!$B$2:$I$6,8,0)+IF(AND(MOD(H32,30)&gt;8,MOD(H32,30)&lt;=18),1*VLOOKUP(D32,'报价表-配送'!$B$2:$I$6,7,0),0)+IF(AND(MOD(H32,30)&lt;=8,MOD(H32,30)&gt;2.5),1,0)*VLOOKUP(D32,'报价表-配送'!$B$2:$I$6,6,0)+IF(AND(MOD(H32,30)&lt;=2.5,MOD(H32,30)&gt;=1.5),1,0)*VLOOKUP(D32,'报价表-配送'!$B$2:$I$6,5,0)</f>
        <v>0</v>
      </c>
      <c r="M32" s="39">
        <f>IF(AND(MOD(H32,30)&lt;1.5,MOD(H32,30)&gt;=0.5),H32,0)*VLOOKUP(D32,'报价表-配送'!$B$2:$I$6,4,0)*1000+IF(AND(MOD(H32,30)&lt;0.5,MOD(H32,30)&gt;=0.02),H32,0)*VLOOKUP(D32,'报价表-配送'!$B$2:$I$6,3,0)*1000+IF(AND(MOD(H32,30)&lt;0.02),H32,0)*VLOOKUP(D32,'报价表-配送'!$B$2:$I$6,2,0)*1000</f>
        <v>0</v>
      </c>
      <c r="N32" s="38">
        <f t="shared" si="0"/>
        <v>0</v>
      </c>
    </row>
    <row r="33" spans="1:14" x14ac:dyDescent="0.25">
      <c r="A33" s="104" t="s">
        <v>99</v>
      </c>
      <c r="B33" s="103" t="s">
        <v>100</v>
      </c>
      <c r="C33" s="62">
        <f>VLOOKUP(B33,合并仓明细!$D$2:$F$74,3,0)</f>
        <v>304</v>
      </c>
      <c r="D33" s="103" t="s">
        <v>512</v>
      </c>
      <c r="E33" s="103" t="s">
        <v>255</v>
      </c>
      <c r="F33" s="105" t="s">
        <v>66</v>
      </c>
      <c r="G33">
        <v>400</v>
      </c>
      <c r="H33">
        <v>0.4</v>
      </c>
      <c r="L33" s="37">
        <f>IF(H33&gt;30,QUOTIENT(H33,30)*VLOOKUP(D33,'报价表-配送'!$B$2:$I$6,8,0),0)+IF(AND(MOD(H33,30)&gt;18,MOD(H33,30)&lt;=30),1,0)*VLOOKUP(D33,'报价表-配送'!$B$2:$I$6,8,0)+IF(AND(MOD(H33,30)&gt;8,MOD(H33,30)&lt;=18),1*VLOOKUP(D33,'报价表-配送'!$B$2:$I$6,7,0),0)+IF(AND(MOD(H33,30)&lt;=8,MOD(H33,30)&gt;2.5),1,0)*VLOOKUP(D33,'报价表-配送'!$B$2:$I$6,6,0)+IF(AND(MOD(H33,30)&lt;=2.5,MOD(H33,30)&gt;=1.5),1,0)*VLOOKUP(D33,'报价表-配送'!$B$2:$I$6,5,0)</f>
        <v>0</v>
      </c>
      <c r="M33" s="39">
        <f>IF(AND(MOD(H33,30)&lt;1.5,MOD(H33,30)&gt;=0.5),H33,0)*VLOOKUP(D33,'报价表-配送'!$B$2:$I$6,4,0)*1000+IF(AND(MOD(H33,30)&lt;0.5,MOD(H33,30)&gt;=0.02),H33,0)*VLOOKUP(D33,'报价表-配送'!$B$2:$I$6,3,0)*1000+IF(AND(MOD(H33,30)&lt;0.02),H33,0)*VLOOKUP(D33,'报价表-配送'!$B$2:$I$6,2,0)*1000</f>
        <v>0</v>
      </c>
      <c r="N33" s="38">
        <f t="shared" si="0"/>
        <v>0</v>
      </c>
    </row>
    <row r="34" spans="1:14" x14ac:dyDescent="0.25">
      <c r="A34" s="104" t="s">
        <v>99</v>
      </c>
      <c r="B34" s="103" t="s">
        <v>100</v>
      </c>
      <c r="C34" s="62">
        <f>VLOOKUP(B34,合并仓明细!$D$2:$F$74,3,0)</f>
        <v>304</v>
      </c>
      <c r="D34" s="103" t="s">
        <v>512</v>
      </c>
      <c r="E34" s="103" t="s">
        <v>255</v>
      </c>
      <c r="F34" s="105" t="s">
        <v>66</v>
      </c>
      <c r="G34">
        <v>2</v>
      </c>
      <c r="H34">
        <v>2E-3</v>
      </c>
      <c r="L34" s="37">
        <f>IF(H34&gt;30,QUOTIENT(H34,30)*VLOOKUP(D34,'报价表-配送'!$B$2:$I$6,8,0),0)+IF(AND(MOD(H34,30)&gt;18,MOD(H34,30)&lt;=30),1,0)*VLOOKUP(D34,'报价表-配送'!$B$2:$I$6,8,0)+IF(AND(MOD(H34,30)&gt;8,MOD(H34,30)&lt;=18),1*VLOOKUP(D34,'报价表-配送'!$B$2:$I$6,7,0),0)+IF(AND(MOD(H34,30)&lt;=8,MOD(H34,30)&gt;2.5),1,0)*VLOOKUP(D34,'报价表-配送'!$B$2:$I$6,6,0)+IF(AND(MOD(H34,30)&lt;=2.5,MOD(H34,30)&gt;=1.5),1,0)*VLOOKUP(D34,'报价表-配送'!$B$2:$I$6,5,0)</f>
        <v>0</v>
      </c>
      <c r="M34" s="39">
        <f>IF(AND(MOD(H34,30)&lt;1.5,MOD(H34,30)&gt;=0.5),H34,0)*VLOOKUP(D34,'报价表-配送'!$B$2:$I$6,4,0)*1000+IF(AND(MOD(H34,30)&lt;0.5,MOD(H34,30)&gt;=0.02),H34,0)*VLOOKUP(D34,'报价表-配送'!$B$2:$I$6,3,0)*1000+IF(AND(MOD(H34,30)&lt;0.02),H34,0)*VLOOKUP(D34,'报价表-配送'!$B$2:$I$6,2,0)*1000</f>
        <v>0</v>
      </c>
      <c r="N34" s="38">
        <f t="shared" si="0"/>
        <v>0</v>
      </c>
    </row>
    <row r="35" spans="1:14" x14ac:dyDescent="0.25">
      <c r="A35" s="1" t="s">
        <v>99</v>
      </c>
      <c r="B35" t="s">
        <v>101</v>
      </c>
      <c r="C35" s="62">
        <f>VLOOKUP(B35,合并仓明细!$D$2:$F$74,3,0)</f>
        <v>93</v>
      </c>
      <c r="D35" t="s">
        <v>393</v>
      </c>
      <c r="E35" t="s">
        <v>260</v>
      </c>
      <c r="F35" t="s">
        <v>68</v>
      </c>
      <c r="G35">
        <v>1941.38</v>
      </c>
      <c r="H35">
        <v>4.8554699999999995</v>
      </c>
      <c r="I35" s="46">
        <f>ROUNDUP(H35/30,0)*VLOOKUP(D35,'报价表-配送'!$B$2:$I$6,8,0)</f>
        <v>0</v>
      </c>
      <c r="N35" s="38">
        <f t="shared" si="0"/>
        <v>0</v>
      </c>
    </row>
    <row r="36" spans="1:14" x14ac:dyDescent="0.25">
      <c r="A36" s="1" t="s">
        <v>99</v>
      </c>
      <c r="B36" t="s">
        <v>101</v>
      </c>
      <c r="C36" s="62">
        <f>VLOOKUP(B36,合并仓明细!$D$2:$F$74,3,0)</f>
        <v>93</v>
      </c>
      <c r="D36" t="s">
        <v>393</v>
      </c>
      <c r="E36" t="s">
        <v>260</v>
      </c>
      <c r="F36" t="s">
        <v>67</v>
      </c>
      <c r="G36">
        <v>2635.93</v>
      </c>
      <c r="H36"/>
      <c r="N36" s="38">
        <f t="shared" si="0"/>
        <v>0</v>
      </c>
    </row>
    <row r="37" spans="1:14" x14ac:dyDescent="0.25">
      <c r="A37" s="1" t="s">
        <v>99</v>
      </c>
      <c r="B37" t="s">
        <v>101</v>
      </c>
      <c r="C37" s="62">
        <f>VLOOKUP(B37,合并仓明细!$D$2:$F$74,3,0)</f>
        <v>93</v>
      </c>
      <c r="D37" t="s">
        <v>393</v>
      </c>
      <c r="E37" t="s">
        <v>260</v>
      </c>
      <c r="F37" t="s">
        <v>66</v>
      </c>
      <c r="G37">
        <v>278.15999999999997</v>
      </c>
      <c r="H37"/>
      <c r="I37" s="46"/>
      <c r="N37" s="38">
        <f t="shared" si="0"/>
        <v>0</v>
      </c>
    </row>
    <row r="38" spans="1:14" x14ac:dyDescent="0.25">
      <c r="A38" s="1" t="s">
        <v>99</v>
      </c>
      <c r="B38" t="s">
        <v>101</v>
      </c>
      <c r="C38" s="62">
        <f>VLOOKUP(B38,合并仓明细!$D$2:$F$74,3,0)</f>
        <v>93</v>
      </c>
      <c r="D38" t="s">
        <v>393</v>
      </c>
      <c r="E38" t="s">
        <v>256</v>
      </c>
      <c r="F38" t="s">
        <v>68</v>
      </c>
      <c r="G38">
        <v>3412.25</v>
      </c>
      <c r="H38">
        <v>18.865209999999998</v>
      </c>
      <c r="I38" s="46">
        <f>ROUNDUP(H38/30,0)*VLOOKUP(D38,'报价表-配送'!$B$2:$I$6,8,0)</f>
        <v>0</v>
      </c>
      <c r="N38" s="38">
        <f t="shared" si="0"/>
        <v>0</v>
      </c>
    </row>
    <row r="39" spans="1:14" x14ac:dyDescent="0.25">
      <c r="A39" s="1" t="s">
        <v>99</v>
      </c>
      <c r="B39" t="s">
        <v>101</v>
      </c>
      <c r="C39" s="62">
        <f>VLOOKUP(B39,合并仓明细!$D$2:$F$74,3,0)</f>
        <v>93</v>
      </c>
      <c r="D39" t="s">
        <v>393</v>
      </c>
      <c r="E39" t="s">
        <v>256</v>
      </c>
      <c r="F39" t="s">
        <v>67</v>
      </c>
      <c r="G39">
        <v>14925.130000000001</v>
      </c>
      <c r="H39"/>
      <c r="N39" s="38">
        <f t="shared" si="0"/>
        <v>0</v>
      </c>
    </row>
    <row r="40" spans="1:14" x14ac:dyDescent="0.25">
      <c r="A40" s="1" t="s">
        <v>99</v>
      </c>
      <c r="B40" t="s">
        <v>101</v>
      </c>
      <c r="C40" s="62">
        <f>VLOOKUP(B40,合并仓明细!$D$2:$F$74,3,0)</f>
        <v>93</v>
      </c>
      <c r="D40" t="s">
        <v>393</v>
      </c>
      <c r="E40" t="s">
        <v>256</v>
      </c>
      <c r="F40" t="s">
        <v>66</v>
      </c>
      <c r="G40">
        <v>527.82999999999993</v>
      </c>
      <c r="H40"/>
      <c r="I40" s="46"/>
      <c r="N40" s="38">
        <f t="shared" si="0"/>
        <v>0</v>
      </c>
    </row>
    <row r="41" spans="1:14" x14ac:dyDescent="0.25">
      <c r="A41" s="1" t="s">
        <v>99</v>
      </c>
      <c r="B41" t="s">
        <v>101</v>
      </c>
      <c r="C41" s="62">
        <f>VLOOKUP(B41,合并仓明细!$D$2:$F$74,3,0)</f>
        <v>93</v>
      </c>
      <c r="D41" t="s">
        <v>393</v>
      </c>
      <c r="E41" t="s">
        <v>261</v>
      </c>
      <c r="F41" t="s">
        <v>68</v>
      </c>
      <c r="G41">
        <v>1553.28</v>
      </c>
      <c r="H41">
        <v>8.091429999999999</v>
      </c>
      <c r="I41" s="46">
        <f>ROUNDUP(H41/30,0)*VLOOKUP(D41,'报价表-配送'!$B$2:$I$6,8,0)</f>
        <v>0</v>
      </c>
      <c r="N41" s="38">
        <f t="shared" si="0"/>
        <v>0</v>
      </c>
    </row>
    <row r="42" spans="1:14" x14ac:dyDescent="0.25">
      <c r="A42" s="1" t="s">
        <v>99</v>
      </c>
      <c r="B42" t="s">
        <v>101</v>
      </c>
      <c r="C42" s="62">
        <f>VLOOKUP(B42,合并仓明细!$D$2:$F$74,3,0)</f>
        <v>93</v>
      </c>
      <c r="D42" t="s">
        <v>393</v>
      </c>
      <c r="E42" t="s">
        <v>261</v>
      </c>
      <c r="F42" t="s">
        <v>67</v>
      </c>
      <c r="G42">
        <v>4160.3999999999996</v>
      </c>
      <c r="H42"/>
      <c r="N42" s="38">
        <f t="shared" si="0"/>
        <v>0</v>
      </c>
    </row>
    <row r="43" spans="1:14" x14ac:dyDescent="0.25">
      <c r="A43" s="1" t="s">
        <v>99</v>
      </c>
      <c r="B43" t="s">
        <v>101</v>
      </c>
      <c r="C43" s="62">
        <f>VLOOKUP(B43,合并仓明细!$D$2:$F$74,3,0)</f>
        <v>93</v>
      </c>
      <c r="D43" t="s">
        <v>393</v>
      </c>
      <c r="E43" t="s">
        <v>261</v>
      </c>
      <c r="F43" t="s">
        <v>66</v>
      </c>
      <c r="G43">
        <v>2377.7499999999995</v>
      </c>
      <c r="H43"/>
      <c r="I43" s="46"/>
      <c r="N43" s="38">
        <f t="shared" si="0"/>
        <v>0</v>
      </c>
    </row>
    <row r="44" spans="1:14" x14ac:dyDescent="0.25">
      <c r="A44" s="1" t="s">
        <v>99</v>
      </c>
      <c r="B44" t="s">
        <v>101</v>
      </c>
      <c r="C44" s="62">
        <f>VLOOKUP(B44,合并仓明细!$D$2:$F$74,3,0)</f>
        <v>93</v>
      </c>
      <c r="D44" t="s">
        <v>393</v>
      </c>
      <c r="E44" t="s">
        <v>391</v>
      </c>
      <c r="F44" t="s">
        <v>68</v>
      </c>
      <c r="G44">
        <v>1788.12</v>
      </c>
      <c r="H44">
        <v>12.545829999999999</v>
      </c>
      <c r="I44" s="46">
        <f>ROUNDUP(H44/30,0)*VLOOKUP(D44,'报价表-配送'!$B$2:$I$6,8,0)</f>
        <v>0</v>
      </c>
      <c r="N44" s="38">
        <f t="shared" si="0"/>
        <v>0</v>
      </c>
    </row>
    <row r="45" spans="1:14" x14ac:dyDescent="0.25">
      <c r="A45" s="1" t="s">
        <v>99</v>
      </c>
      <c r="B45" t="s">
        <v>101</v>
      </c>
      <c r="C45" s="62">
        <f>VLOOKUP(B45,合并仓明细!$D$2:$F$74,3,0)</f>
        <v>93</v>
      </c>
      <c r="D45" t="s">
        <v>393</v>
      </c>
      <c r="E45" t="s">
        <v>391</v>
      </c>
      <c r="F45" t="s">
        <v>67</v>
      </c>
      <c r="G45">
        <v>10757.71</v>
      </c>
      <c r="H45"/>
      <c r="N45" s="38">
        <f t="shared" si="0"/>
        <v>0</v>
      </c>
    </row>
    <row r="46" spans="1:14" x14ac:dyDescent="0.25">
      <c r="A46" s="1" t="s">
        <v>99</v>
      </c>
      <c r="B46" t="s">
        <v>101</v>
      </c>
      <c r="C46" s="62">
        <f>VLOOKUP(B46,合并仓明细!$D$2:$F$74,3,0)</f>
        <v>93</v>
      </c>
      <c r="D46" t="s">
        <v>393</v>
      </c>
      <c r="E46" t="s">
        <v>306</v>
      </c>
      <c r="F46" t="s">
        <v>67</v>
      </c>
      <c r="G46">
        <v>1410.17</v>
      </c>
      <c r="H46">
        <v>1.4101700000000001</v>
      </c>
      <c r="I46" s="38">
        <f>IF(H46&gt;30,QUOTIENT(H46,30)*VLOOKUP(D46,'报价表-配送'!$B$2:$I$6,8,0),0)+IF(AND(MOD(H46,30)&gt;18,MOD(H46,30)&lt;=30),1,0)*VLOOKUP(D46,'报价表-配送'!$B$2:$I$6,8,0)</f>
        <v>0</v>
      </c>
      <c r="J46" s="38">
        <f>IF(AND(MOD(H46,30)&gt;8,MOD(H46,30)&lt;=18),1*VLOOKUP(D46,'报价表-配送'!$B$2:$I$6,7,0),0)</f>
        <v>0</v>
      </c>
      <c r="K46" s="38">
        <f>IF(AND(MOD(H46,30)&lt;=8,MOD(H46,30)&gt;0),1,0)*VLOOKUP(D46,'报价表-配送'!$B$2:$I$6,6,0)</f>
        <v>0</v>
      </c>
      <c r="N46" s="38">
        <f t="shared" si="0"/>
        <v>0</v>
      </c>
    </row>
    <row r="47" spans="1:14" x14ac:dyDescent="0.25">
      <c r="A47" s="1" t="s">
        <v>99</v>
      </c>
      <c r="B47" t="s">
        <v>101</v>
      </c>
      <c r="C47" s="62">
        <f>VLOOKUP(B47,合并仓明细!$D$2:$F$74,3,0)</f>
        <v>93</v>
      </c>
      <c r="D47" t="s">
        <v>393</v>
      </c>
      <c r="E47" t="s">
        <v>306</v>
      </c>
      <c r="F47" t="s">
        <v>66</v>
      </c>
      <c r="G47">
        <v>0</v>
      </c>
      <c r="H47"/>
      <c r="N47" s="38">
        <f t="shared" si="0"/>
        <v>0</v>
      </c>
    </row>
    <row r="48" spans="1:14" x14ac:dyDescent="0.25">
      <c r="A48" s="1" t="s">
        <v>99</v>
      </c>
      <c r="B48" t="s">
        <v>101</v>
      </c>
      <c r="C48" s="62">
        <f>VLOOKUP(B48,合并仓明细!$D$2:$F$74,3,0)</f>
        <v>93</v>
      </c>
      <c r="D48" t="s">
        <v>393</v>
      </c>
      <c r="E48" t="s">
        <v>262</v>
      </c>
      <c r="F48" t="s">
        <v>68</v>
      </c>
      <c r="G48">
        <v>579.12</v>
      </c>
      <c r="H48">
        <v>1.68445</v>
      </c>
      <c r="I48" s="46">
        <f>ROUNDUP(H48/30,0)*VLOOKUP(D48,'报价表-配送'!$B$2:$I$6,8,0)</f>
        <v>0</v>
      </c>
      <c r="N48" s="38">
        <f t="shared" si="0"/>
        <v>0</v>
      </c>
    </row>
    <row r="49" spans="1:14" x14ac:dyDescent="0.25">
      <c r="A49" s="1" t="s">
        <v>99</v>
      </c>
      <c r="B49" t="s">
        <v>101</v>
      </c>
      <c r="C49" s="62">
        <f>VLOOKUP(B49,合并仓明细!$D$2:$F$74,3,0)</f>
        <v>93</v>
      </c>
      <c r="D49" t="s">
        <v>393</v>
      </c>
      <c r="E49" t="s">
        <v>262</v>
      </c>
      <c r="F49" t="s">
        <v>67</v>
      </c>
      <c r="G49">
        <v>536.65</v>
      </c>
      <c r="H49"/>
      <c r="I49" s="46"/>
      <c r="N49" s="38">
        <f t="shared" si="0"/>
        <v>0</v>
      </c>
    </row>
    <row r="50" spans="1:14" x14ac:dyDescent="0.25">
      <c r="A50" s="1" t="s">
        <v>99</v>
      </c>
      <c r="B50" t="s">
        <v>101</v>
      </c>
      <c r="C50" s="62">
        <f>VLOOKUP(B50,合并仓明细!$D$2:$F$74,3,0)</f>
        <v>93</v>
      </c>
      <c r="D50" t="s">
        <v>393</v>
      </c>
      <c r="E50" t="s">
        <v>262</v>
      </c>
      <c r="F50" t="s">
        <v>66</v>
      </c>
      <c r="G50">
        <v>568.68000000000006</v>
      </c>
      <c r="H50"/>
      <c r="N50" s="38">
        <f t="shared" si="0"/>
        <v>0</v>
      </c>
    </row>
    <row r="51" spans="1:14" x14ac:dyDescent="0.25">
      <c r="A51" s="1" t="s">
        <v>99</v>
      </c>
      <c r="B51" t="s">
        <v>101</v>
      </c>
      <c r="C51" s="62">
        <f>VLOOKUP(B51,合并仓明细!$D$2:$F$74,3,0)</f>
        <v>93</v>
      </c>
      <c r="D51" t="s">
        <v>393</v>
      </c>
      <c r="E51" t="s">
        <v>263</v>
      </c>
      <c r="F51" t="s">
        <v>67</v>
      </c>
      <c r="G51">
        <v>3378.59</v>
      </c>
      <c r="H51">
        <v>3.9702200000000003</v>
      </c>
      <c r="I51" s="38">
        <f>IF(H51&gt;30,QUOTIENT(H51,30)*VLOOKUP(D51,'报价表-配送'!$B$2:$I$6,8,0),0)+IF(AND(MOD(H51,30)&gt;18,MOD(H51,30)&lt;=30),1,0)*VLOOKUP(D51,'报价表-配送'!$B$2:$I$6,8,0)</f>
        <v>0</v>
      </c>
      <c r="J51" s="38">
        <f>IF(AND(MOD(H51,30)&gt;8,MOD(H51,30)&lt;=18),1*VLOOKUP(D51,'报价表-配送'!$B$2:$I$6,7,0),0)</f>
        <v>0</v>
      </c>
      <c r="K51" s="38">
        <f>IF(AND(MOD(H51,30)&lt;=8,MOD(H51,30)&gt;0),1,0)*VLOOKUP(D51,'报价表-配送'!$B$2:$I$6,6,0)</f>
        <v>0</v>
      </c>
      <c r="N51" s="38">
        <f t="shared" si="0"/>
        <v>0</v>
      </c>
    </row>
    <row r="52" spans="1:14" x14ac:dyDescent="0.25">
      <c r="A52" s="1" t="s">
        <v>99</v>
      </c>
      <c r="B52" t="s">
        <v>101</v>
      </c>
      <c r="C52" s="62">
        <f>VLOOKUP(B52,合并仓明细!$D$2:$F$74,3,0)</f>
        <v>93</v>
      </c>
      <c r="D52" t="s">
        <v>393</v>
      </c>
      <c r="E52" t="s">
        <v>263</v>
      </c>
      <c r="F52" t="s">
        <v>66</v>
      </c>
      <c r="G52">
        <v>591.63000000000011</v>
      </c>
      <c r="H52"/>
      <c r="I52" s="46"/>
      <c r="N52" s="38">
        <f t="shared" si="0"/>
        <v>0</v>
      </c>
    </row>
    <row r="53" spans="1:14" x14ac:dyDescent="0.25">
      <c r="A53" s="1" t="s">
        <v>99</v>
      </c>
      <c r="B53" t="s">
        <v>101</v>
      </c>
      <c r="C53" s="62">
        <f>VLOOKUP(B53,合并仓明细!$D$2:$F$74,3,0)</f>
        <v>93</v>
      </c>
      <c r="D53" t="s">
        <v>393</v>
      </c>
      <c r="E53" t="s">
        <v>307</v>
      </c>
      <c r="F53" t="s">
        <v>68</v>
      </c>
      <c r="G53">
        <v>817.37</v>
      </c>
      <c r="H53">
        <v>13.992810000000004</v>
      </c>
      <c r="I53" s="46">
        <f>ROUNDUP(H53/30,0)*VLOOKUP(D53,'报价表-配送'!$B$2:$I$6,8,0)</f>
        <v>0</v>
      </c>
      <c r="N53" s="38">
        <f t="shared" si="0"/>
        <v>0</v>
      </c>
    </row>
    <row r="54" spans="1:14" x14ac:dyDescent="0.25">
      <c r="A54" s="1" t="s">
        <v>99</v>
      </c>
      <c r="B54" t="s">
        <v>101</v>
      </c>
      <c r="C54" s="62">
        <f>VLOOKUP(B54,合并仓明细!$D$2:$F$74,3,0)</f>
        <v>93</v>
      </c>
      <c r="D54" t="s">
        <v>393</v>
      </c>
      <c r="E54" t="s">
        <v>307</v>
      </c>
      <c r="F54" t="s">
        <v>67</v>
      </c>
      <c r="G54">
        <v>12539.740000000002</v>
      </c>
      <c r="H54"/>
      <c r="N54" s="38">
        <f t="shared" si="0"/>
        <v>0</v>
      </c>
    </row>
    <row r="55" spans="1:14" x14ac:dyDescent="0.25">
      <c r="A55" s="1" t="s">
        <v>99</v>
      </c>
      <c r="B55" t="s">
        <v>101</v>
      </c>
      <c r="C55" s="62">
        <f>VLOOKUP(B55,合并仓明细!$D$2:$F$74,3,0)</f>
        <v>93</v>
      </c>
      <c r="D55" t="s">
        <v>393</v>
      </c>
      <c r="E55" t="s">
        <v>307</v>
      </c>
      <c r="F55" t="s">
        <v>66</v>
      </c>
      <c r="G55">
        <v>635.70000000000005</v>
      </c>
      <c r="H55"/>
      <c r="I55" s="46"/>
      <c r="N55" s="38">
        <f t="shared" si="0"/>
        <v>0</v>
      </c>
    </row>
    <row r="56" spans="1:14" x14ac:dyDescent="0.25">
      <c r="A56" s="1" t="s">
        <v>99</v>
      </c>
      <c r="B56" t="s">
        <v>101</v>
      </c>
      <c r="C56" s="62">
        <f>VLOOKUP(B56,合并仓明细!$D$2:$F$74,3,0)</f>
        <v>93</v>
      </c>
      <c r="D56" t="s">
        <v>393</v>
      </c>
      <c r="E56" t="s">
        <v>264</v>
      </c>
      <c r="F56" t="s">
        <v>68</v>
      </c>
      <c r="G56">
        <v>3608.3099999999995</v>
      </c>
      <c r="H56">
        <v>20.858379999999997</v>
      </c>
      <c r="I56" s="46">
        <f>ROUNDUP(H56/30,0)*VLOOKUP(D56,'报价表-配送'!$B$2:$I$6,8,0)</f>
        <v>0</v>
      </c>
      <c r="N56" s="38">
        <f t="shared" si="0"/>
        <v>0</v>
      </c>
    </row>
    <row r="57" spans="1:14" x14ac:dyDescent="0.25">
      <c r="A57" s="1" t="s">
        <v>99</v>
      </c>
      <c r="B57" t="s">
        <v>101</v>
      </c>
      <c r="C57" s="62">
        <f>VLOOKUP(B57,合并仓明细!$D$2:$F$74,3,0)</f>
        <v>93</v>
      </c>
      <c r="D57" t="s">
        <v>393</v>
      </c>
      <c r="E57" t="s">
        <v>264</v>
      </c>
      <c r="F57" t="s">
        <v>67</v>
      </c>
      <c r="G57">
        <v>16099.169999999998</v>
      </c>
      <c r="H57"/>
      <c r="N57" s="38">
        <f t="shared" si="0"/>
        <v>0</v>
      </c>
    </row>
    <row r="58" spans="1:14" x14ac:dyDescent="0.25">
      <c r="A58" s="1" t="s">
        <v>99</v>
      </c>
      <c r="B58" t="s">
        <v>101</v>
      </c>
      <c r="C58" s="62">
        <f>VLOOKUP(B58,合并仓明细!$D$2:$F$74,3,0)</f>
        <v>93</v>
      </c>
      <c r="D58" t="s">
        <v>393</v>
      </c>
      <c r="E58" t="s">
        <v>264</v>
      </c>
      <c r="F58" t="s">
        <v>66</v>
      </c>
      <c r="G58">
        <v>1150.9000000000003</v>
      </c>
      <c r="H58"/>
      <c r="I58" s="46"/>
      <c r="N58" s="38">
        <f t="shared" si="0"/>
        <v>0</v>
      </c>
    </row>
    <row r="59" spans="1:14" x14ac:dyDescent="0.25">
      <c r="A59" s="1" t="s">
        <v>99</v>
      </c>
      <c r="B59" t="s">
        <v>101</v>
      </c>
      <c r="C59" s="62">
        <f>VLOOKUP(B59,合并仓明细!$D$2:$F$74,3,0)</f>
        <v>93</v>
      </c>
      <c r="D59" t="s">
        <v>393</v>
      </c>
      <c r="E59" t="s">
        <v>308</v>
      </c>
      <c r="F59" t="s">
        <v>68</v>
      </c>
      <c r="G59">
        <v>9799.1</v>
      </c>
      <c r="H59">
        <v>19.212260000000001</v>
      </c>
      <c r="I59" s="46">
        <f>ROUNDUP(H59/30,0)*VLOOKUP(D59,'报价表-配送'!$B$2:$I$6,8,0)</f>
        <v>0</v>
      </c>
      <c r="N59" s="38">
        <f t="shared" si="0"/>
        <v>0</v>
      </c>
    </row>
    <row r="60" spans="1:14" x14ac:dyDescent="0.25">
      <c r="A60" s="1" t="s">
        <v>99</v>
      </c>
      <c r="B60" t="s">
        <v>101</v>
      </c>
      <c r="C60" s="62">
        <f>VLOOKUP(B60,合并仓明细!$D$2:$F$74,3,0)</f>
        <v>93</v>
      </c>
      <c r="D60" t="s">
        <v>393</v>
      </c>
      <c r="E60" t="s">
        <v>308</v>
      </c>
      <c r="F60" t="s">
        <v>67</v>
      </c>
      <c r="G60">
        <v>6856.03</v>
      </c>
      <c r="H60"/>
      <c r="N60" s="38">
        <f t="shared" si="0"/>
        <v>0</v>
      </c>
    </row>
    <row r="61" spans="1:14" x14ac:dyDescent="0.25">
      <c r="A61" s="1" t="s">
        <v>99</v>
      </c>
      <c r="B61" t="s">
        <v>101</v>
      </c>
      <c r="C61" s="62">
        <f>VLOOKUP(B61,合并仓明细!$D$2:$F$74,3,0)</f>
        <v>93</v>
      </c>
      <c r="D61" t="s">
        <v>393</v>
      </c>
      <c r="E61" t="s">
        <v>308</v>
      </c>
      <c r="F61" t="s">
        <v>66</v>
      </c>
      <c r="G61">
        <v>2557.1299999999997</v>
      </c>
      <c r="H61"/>
      <c r="I61" s="46"/>
      <c r="N61" s="38">
        <f t="shared" si="0"/>
        <v>0</v>
      </c>
    </row>
    <row r="62" spans="1:14" x14ac:dyDescent="0.25">
      <c r="A62" s="1" t="s">
        <v>99</v>
      </c>
      <c r="B62" t="s">
        <v>101</v>
      </c>
      <c r="C62" s="62">
        <f>VLOOKUP(B62,合并仓明细!$D$2:$F$74,3,0)</f>
        <v>93</v>
      </c>
      <c r="D62" t="s">
        <v>393</v>
      </c>
      <c r="E62" t="s">
        <v>344</v>
      </c>
      <c r="F62" t="s">
        <v>68</v>
      </c>
      <c r="G62">
        <v>2052.8200000000002</v>
      </c>
      <c r="H62">
        <v>14.368289999999998</v>
      </c>
      <c r="I62" s="46">
        <f>ROUNDUP(H62/30,0)*VLOOKUP(D62,'报价表-配送'!$B$2:$I$6,8,0)</f>
        <v>0</v>
      </c>
      <c r="N62" s="38">
        <f t="shared" si="0"/>
        <v>0</v>
      </c>
    </row>
    <row r="63" spans="1:14" x14ac:dyDescent="0.25">
      <c r="A63" s="1" t="s">
        <v>99</v>
      </c>
      <c r="B63" t="s">
        <v>101</v>
      </c>
      <c r="C63" s="62">
        <f>VLOOKUP(B63,合并仓明细!$D$2:$F$74,3,0)</f>
        <v>93</v>
      </c>
      <c r="D63" t="s">
        <v>393</v>
      </c>
      <c r="E63" t="s">
        <v>344</v>
      </c>
      <c r="F63" t="s">
        <v>67</v>
      </c>
      <c r="G63">
        <v>10767.49</v>
      </c>
      <c r="H63"/>
      <c r="N63" s="38">
        <f t="shared" si="0"/>
        <v>0</v>
      </c>
    </row>
    <row r="64" spans="1:14" x14ac:dyDescent="0.25">
      <c r="A64" s="1" t="s">
        <v>99</v>
      </c>
      <c r="B64" t="s">
        <v>101</v>
      </c>
      <c r="C64" s="62">
        <f>VLOOKUP(B64,合并仓明细!$D$2:$F$74,3,0)</f>
        <v>93</v>
      </c>
      <c r="D64" t="s">
        <v>393</v>
      </c>
      <c r="E64" t="s">
        <v>344</v>
      </c>
      <c r="F64" t="s">
        <v>66</v>
      </c>
      <c r="G64">
        <v>1547.9800000000002</v>
      </c>
      <c r="H64"/>
      <c r="I64" s="46"/>
      <c r="N64" s="38">
        <f t="shared" si="0"/>
        <v>0</v>
      </c>
    </row>
    <row r="65" spans="1:14" x14ac:dyDescent="0.25">
      <c r="A65" s="1" t="s">
        <v>99</v>
      </c>
      <c r="B65" t="s">
        <v>101</v>
      </c>
      <c r="C65" s="62">
        <f>VLOOKUP(B65,合并仓明细!$D$2:$F$74,3,0)</f>
        <v>93</v>
      </c>
      <c r="D65" t="s">
        <v>393</v>
      </c>
      <c r="E65" t="s">
        <v>265</v>
      </c>
      <c r="F65" t="s">
        <v>67</v>
      </c>
      <c r="G65">
        <v>1739.11</v>
      </c>
      <c r="H65">
        <v>2.0446299999999997</v>
      </c>
      <c r="I65" s="38">
        <f>IF(H65&gt;30,QUOTIENT(H65,30)*VLOOKUP(D65,'报价表-配送'!$B$2:$I$6,8,0),0)+IF(AND(MOD(H65,30)&gt;18,MOD(H65,30)&lt;=30),1,0)*VLOOKUP(D65,'报价表-配送'!$B$2:$I$6,8,0)</f>
        <v>0</v>
      </c>
      <c r="J65" s="38">
        <f>IF(AND(MOD(H65,30)&gt;8,MOD(H65,30)&lt;=18),1*VLOOKUP(D65,'报价表-配送'!$B$2:$I$6,7,0),0)</f>
        <v>0</v>
      </c>
      <c r="K65" s="38">
        <f>IF(AND(MOD(H65,30)&lt;=8,MOD(H65,30)&gt;0),1,0)*VLOOKUP(D65,'报价表-配送'!$B$2:$I$6,6,0)</f>
        <v>0</v>
      </c>
      <c r="N65" s="38">
        <f t="shared" si="0"/>
        <v>0</v>
      </c>
    </row>
    <row r="66" spans="1:14" x14ac:dyDescent="0.25">
      <c r="A66" s="1" t="s">
        <v>99</v>
      </c>
      <c r="B66" t="s">
        <v>101</v>
      </c>
      <c r="C66" s="62">
        <f>VLOOKUP(B66,合并仓明细!$D$2:$F$74,3,0)</f>
        <v>93</v>
      </c>
      <c r="D66" t="s">
        <v>393</v>
      </c>
      <c r="E66" t="s">
        <v>265</v>
      </c>
      <c r="F66" t="s">
        <v>66</v>
      </c>
      <c r="G66">
        <v>305.52000000000004</v>
      </c>
      <c r="H66"/>
      <c r="N66" s="38">
        <f t="shared" si="0"/>
        <v>0</v>
      </c>
    </row>
    <row r="67" spans="1:14" x14ac:dyDescent="0.25">
      <c r="A67" s="1" t="s">
        <v>99</v>
      </c>
      <c r="B67" t="s">
        <v>101</v>
      </c>
      <c r="C67" s="62">
        <f>VLOOKUP(B67,合并仓明细!$D$2:$F$74,3,0)</f>
        <v>93</v>
      </c>
      <c r="D67" t="s">
        <v>393</v>
      </c>
      <c r="E67" t="s">
        <v>333</v>
      </c>
      <c r="F67" t="s">
        <v>67</v>
      </c>
      <c r="G67">
        <v>18968.400000000001</v>
      </c>
      <c r="H67">
        <v>20.328380000000003</v>
      </c>
      <c r="I67" s="38">
        <f>IF(H67&gt;30,QUOTIENT(H67,30)*VLOOKUP(D67,'报价表-配送'!$B$2:$I$6,8,0),0)+IF(AND(MOD(H67,30)&gt;18,MOD(H67,30)&lt;=30),1,0)*VLOOKUP(D67,'报价表-配送'!$B$2:$I$6,8,0)</f>
        <v>0</v>
      </c>
      <c r="J67" s="38">
        <f>IF(AND(MOD(H67,30)&gt;8,MOD(H67,30)&lt;=18),1*VLOOKUP(D67,'报价表-配送'!$B$2:$I$6,7,0),0)</f>
        <v>0</v>
      </c>
      <c r="K67" s="38">
        <f>IF(AND(MOD(H67,30)&lt;=8,MOD(H67,30)&gt;0),1,0)*VLOOKUP(D67,'报价表-配送'!$B$2:$I$6,6,0)</f>
        <v>0</v>
      </c>
      <c r="N67" s="38">
        <f t="shared" si="0"/>
        <v>0</v>
      </c>
    </row>
    <row r="68" spans="1:14" x14ac:dyDescent="0.25">
      <c r="A68" s="1" t="s">
        <v>99</v>
      </c>
      <c r="B68" t="s">
        <v>101</v>
      </c>
      <c r="C68" s="62">
        <f>VLOOKUP(B68,合并仓明细!$D$2:$F$74,3,0)</f>
        <v>93</v>
      </c>
      <c r="D68" t="s">
        <v>393</v>
      </c>
      <c r="E68" t="s">
        <v>333</v>
      </c>
      <c r="F68" t="s">
        <v>66</v>
      </c>
      <c r="G68">
        <v>1359.98</v>
      </c>
      <c r="H68"/>
      <c r="N68" s="38">
        <f t="shared" si="0"/>
        <v>0</v>
      </c>
    </row>
    <row r="69" spans="1:14" x14ac:dyDescent="0.25">
      <c r="A69" s="1" t="s">
        <v>99</v>
      </c>
      <c r="B69" t="s">
        <v>101</v>
      </c>
      <c r="C69" s="62">
        <f>VLOOKUP(B69,合并仓明细!$D$2:$F$74,3,0)</f>
        <v>93</v>
      </c>
      <c r="D69" t="s">
        <v>393</v>
      </c>
      <c r="E69" t="s">
        <v>257</v>
      </c>
      <c r="F69" t="s">
        <v>68</v>
      </c>
      <c r="G69">
        <v>1028.0899999999999</v>
      </c>
      <c r="H69">
        <v>11.791309999999999</v>
      </c>
      <c r="I69" s="46">
        <f>ROUNDUP(H69/30,0)*VLOOKUP(D69,'报价表-配送'!$B$2:$I$6,8,0)</f>
        <v>0</v>
      </c>
      <c r="N69" s="38">
        <f t="shared" si="0"/>
        <v>0</v>
      </c>
    </row>
    <row r="70" spans="1:14" x14ac:dyDescent="0.25">
      <c r="A70" s="1" t="s">
        <v>99</v>
      </c>
      <c r="B70" t="s">
        <v>101</v>
      </c>
      <c r="C70" s="62">
        <f>VLOOKUP(B70,合并仓明细!$D$2:$F$74,3,0)</f>
        <v>93</v>
      </c>
      <c r="D70" t="s">
        <v>393</v>
      </c>
      <c r="E70" t="s">
        <v>257</v>
      </c>
      <c r="F70" t="s">
        <v>67</v>
      </c>
      <c r="G70">
        <v>9342.7599999999984</v>
      </c>
      <c r="H70"/>
      <c r="I70" s="46"/>
      <c r="N70" s="38">
        <f t="shared" si="0"/>
        <v>0</v>
      </c>
    </row>
    <row r="71" spans="1:14" x14ac:dyDescent="0.25">
      <c r="A71" s="1" t="s">
        <v>99</v>
      </c>
      <c r="B71" t="s">
        <v>101</v>
      </c>
      <c r="C71" s="62">
        <f>VLOOKUP(B71,合并仓明细!$D$2:$F$74,3,0)</f>
        <v>93</v>
      </c>
      <c r="D71" t="s">
        <v>393</v>
      </c>
      <c r="E71" t="s">
        <v>257</v>
      </c>
      <c r="F71" t="s">
        <v>66</v>
      </c>
      <c r="G71">
        <v>1420.46</v>
      </c>
      <c r="H71"/>
      <c r="N71" s="38">
        <f t="shared" si="0"/>
        <v>0</v>
      </c>
    </row>
    <row r="72" spans="1:14" x14ac:dyDescent="0.25">
      <c r="A72" s="1" t="s">
        <v>99</v>
      </c>
      <c r="B72" t="s">
        <v>101</v>
      </c>
      <c r="C72" s="62">
        <f>VLOOKUP(B72,合并仓明细!$D$2:$F$74,3,0)</f>
        <v>93</v>
      </c>
      <c r="D72" t="s">
        <v>393</v>
      </c>
      <c r="E72" t="s">
        <v>369</v>
      </c>
      <c r="F72" t="s">
        <v>67</v>
      </c>
      <c r="G72">
        <v>10060.74</v>
      </c>
      <c r="H72">
        <v>10.45111</v>
      </c>
      <c r="I72" s="38">
        <f>IF(H72&gt;30,QUOTIENT(H72,30)*VLOOKUP(D72,'报价表-配送'!$B$2:$I$6,8,0),0)+IF(AND(MOD(H72,30)&gt;18,MOD(H72,30)&lt;=30),1,0)*VLOOKUP(D72,'报价表-配送'!$B$2:$I$6,8,0)</f>
        <v>0</v>
      </c>
      <c r="J72" s="38">
        <f>IF(AND(MOD(H72,30)&gt;8,MOD(H72,30)&lt;=18),1*VLOOKUP(D72,'报价表-配送'!$B$2:$I$6,7,0),0)</f>
        <v>0</v>
      </c>
      <c r="K72" s="38">
        <f>IF(AND(MOD(H72,30)&lt;=8,MOD(H72,30)&gt;0),1,0)*VLOOKUP(D72,'报价表-配送'!$B$2:$I$6,6,0)</f>
        <v>0</v>
      </c>
      <c r="N72" s="38">
        <f t="shared" si="0"/>
        <v>0</v>
      </c>
    </row>
    <row r="73" spans="1:14" x14ac:dyDescent="0.25">
      <c r="A73" s="1" t="s">
        <v>99</v>
      </c>
      <c r="B73" t="s">
        <v>101</v>
      </c>
      <c r="C73" s="62">
        <f>VLOOKUP(B73,合并仓明细!$D$2:$F$74,3,0)</f>
        <v>93</v>
      </c>
      <c r="D73" t="s">
        <v>393</v>
      </c>
      <c r="E73" t="s">
        <v>369</v>
      </c>
      <c r="F73" t="s">
        <v>66</v>
      </c>
      <c r="G73">
        <v>390.37000000000006</v>
      </c>
      <c r="H73"/>
      <c r="I73" s="46"/>
      <c r="N73" s="38">
        <f t="shared" si="0"/>
        <v>0</v>
      </c>
    </row>
    <row r="74" spans="1:14" x14ac:dyDescent="0.25">
      <c r="A74" s="1" t="s">
        <v>99</v>
      </c>
      <c r="B74" t="s">
        <v>101</v>
      </c>
      <c r="C74" s="62">
        <f>VLOOKUP(B74,合并仓明细!$D$2:$F$74,3,0)</f>
        <v>93</v>
      </c>
      <c r="D74" t="s">
        <v>393</v>
      </c>
      <c r="E74" t="s">
        <v>266</v>
      </c>
      <c r="F74" t="s">
        <v>67</v>
      </c>
      <c r="G74">
        <v>203.76</v>
      </c>
      <c r="H74">
        <v>0.59113000000000004</v>
      </c>
      <c r="I74" s="38">
        <f>IF(H74&gt;30,QUOTIENT(H74,30)*VLOOKUP(D74,'报价表-配送'!$B$2:$I$6,8,0),0)+IF(AND(MOD(H74,30)&gt;18,MOD(H74,30)&lt;=30),1,0)*VLOOKUP(D74,'报价表-配送'!$B$2:$I$6,8,0)</f>
        <v>0</v>
      </c>
      <c r="J74" s="38">
        <f>IF(AND(MOD(H74,30)&gt;8,MOD(H74,30)&lt;=18),1*VLOOKUP(D74,'报价表-配送'!$B$2:$I$6,7,0),0)</f>
        <v>0</v>
      </c>
      <c r="K74" s="38">
        <f>IF(AND(MOD(H74,30)&lt;=8,MOD(H74,30)&gt;0),1,0)*VLOOKUP(D74,'报价表-配送'!$B$2:$I$6,6,0)</f>
        <v>0</v>
      </c>
      <c r="N74" s="38">
        <f t="shared" si="0"/>
        <v>0</v>
      </c>
    </row>
    <row r="75" spans="1:14" x14ac:dyDescent="0.25">
      <c r="A75" s="1" t="s">
        <v>99</v>
      </c>
      <c r="B75" t="s">
        <v>101</v>
      </c>
      <c r="C75" s="62">
        <f>VLOOKUP(B75,合并仓明细!$D$2:$F$74,3,0)</f>
        <v>93</v>
      </c>
      <c r="D75" t="s">
        <v>393</v>
      </c>
      <c r="E75" t="s">
        <v>266</v>
      </c>
      <c r="F75" t="s">
        <v>66</v>
      </c>
      <c r="G75">
        <v>387.37</v>
      </c>
      <c r="H75"/>
      <c r="N75" s="38">
        <f t="shared" si="0"/>
        <v>0</v>
      </c>
    </row>
    <row r="76" spans="1:14" x14ac:dyDescent="0.25">
      <c r="A76" s="1" t="s">
        <v>99</v>
      </c>
      <c r="B76" t="s">
        <v>101</v>
      </c>
      <c r="C76" s="62">
        <f>VLOOKUP(B76,合并仓明细!$D$2:$F$74,3,0)</f>
        <v>93</v>
      </c>
      <c r="D76" t="s">
        <v>393</v>
      </c>
      <c r="E76" t="s">
        <v>309</v>
      </c>
      <c r="F76" t="s">
        <v>67</v>
      </c>
      <c r="G76">
        <v>5874.77</v>
      </c>
      <c r="H76">
        <v>7.9018200000000007</v>
      </c>
      <c r="I76" s="38">
        <f>IF(H76&gt;30,QUOTIENT(H76,30)*VLOOKUP(D76,'报价表-配送'!$B$2:$I$6,8,0),0)+IF(AND(MOD(H76,30)&gt;18,MOD(H76,30)&lt;=30),1,0)*VLOOKUP(D76,'报价表-配送'!$B$2:$I$6,8,0)</f>
        <v>0</v>
      </c>
      <c r="J76" s="38">
        <f>IF(AND(MOD(H76,30)&gt;8,MOD(H76,30)&lt;=18),1*VLOOKUP(D76,'报价表-配送'!$B$2:$I$6,7,0),0)</f>
        <v>0</v>
      </c>
      <c r="K76" s="38">
        <f>IF(AND(MOD(H76,30)&lt;=8,MOD(H76,30)&gt;0),1,0)*VLOOKUP(D76,'报价表-配送'!$B$2:$I$6,6,0)</f>
        <v>0</v>
      </c>
      <c r="N76" s="38">
        <f t="shared" ref="N76:N139" si="1">SUM(I76:M76)</f>
        <v>0</v>
      </c>
    </row>
    <row r="77" spans="1:14" x14ac:dyDescent="0.25">
      <c r="A77" s="1" t="s">
        <v>99</v>
      </c>
      <c r="B77" t="s">
        <v>101</v>
      </c>
      <c r="C77" s="62">
        <f>VLOOKUP(B77,合并仓明细!$D$2:$F$74,3,0)</f>
        <v>93</v>
      </c>
      <c r="D77" t="s">
        <v>393</v>
      </c>
      <c r="E77" t="s">
        <v>309</v>
      </c>
      <c r="F77" t="s">
        <v>66</v>
      </c>
      <c r="G77">
        <v>2027.05</v>
      </c>
      <c r="H77"/>
      <c r="N77" s="38">
        <f t="shared" si="1"/>
        <v>0</v>
      </c>
    </row>
    <row r="78" spans="1:14" x14ac:dyDescent="0.25">
      <c r="A78" s="1" t="s">
        <v>99</v>
      </c>
      <c r="B78" t="s">
        <v>101</v>
      </c>
      <c r="C78" s="62">
        <f>VLOOKUP(B78,合并仓明细!$D$2:$F$74,3,0)</f>
        <v>93</v>
      </c>
      <c r="D78" t="s">
        <v>393</v>
      </c>
      <c r="E78" t="s">
        <v>334</v>
      </c>
      <c r="F78" t="s">
        <v>66</v>
      </c>
      <c r="G78">
        <v>621.41999999999985</v>
      </c>
      <c r="H78">
        <v>0.62141999999999986</v>
      </c>
      <c r="L78" s="37">
        <f>IF(H78&gt;30,QUOTIENT(H78,30)*VLOOKUP(D78,'报价表-配送'!$B$2:$I$6,8,0),0)+IF(AND(MOD(H78,30)&gt;18,MOD(H78,30)&lt;=30),1,0)*VLOOKUP(D78,'报价表-配送'!$B$2:$I$6,8,0)+IF(AND(MOD(H78,30)&gt;8,MOD(H78,30)&lt;=18),1*VLOOKUP(D78,'报价表-配送'!$B$2:$I$6,7,0),0)+IF(AND(MOD(H78,30)&lt;=8,MOD(H78,30)&gt;2.5),1,0)*VLOOKUP(D78,'报价表-配送'!$B$2:$I$6,6,0)+IF(AND(MOD(H78,30)&lt;=2.5,MOD(H78,30)&gt;=1.5),1,0)*VLOOKUP(D78,'报价表-配送'!$B$2:$I$6,5,0)</f>
        <v>0</v>
      </c>
      <c r="M78" s="39">
        <f>IF(AND(MOD(H78,30)&lt;1.5,MOD(H78,30)&gt;=0.5),H78,0)*VLOOKUP(D78,'报价表-配送'!$B$2:$I$6,4,0)*1000+IF(AND(MOD(H78,30)&lt;0.5,MOD(H78,30)&gt;=0.02),H78,0)*VLOOKUP(D78,'报价表-配送'!$B$2:$I$6,3,0)*1000+IF(AND(MOD(H78,30)&lt;0.02),H78,0)*VLOOKUP(D78,'报价表-配送'!$B$2:$I$6,2,0)*1000</f>
        <v>0</v>
      </c>
      <c r="N78" s="38">
        <f t="shared" si="1"/>
        <v>0</v>
      </c>
    </row>
    <row r="79" spans="1:14" x14ac:dyDescent="0.25">
      <c r="A79" s="1" t="s">
        <v>99</v>
      </c>
      <c r="B79" t="s">
        <v>101</v>
      </c>
      <c r="C79" s="62">
        <f>VLOOKUP(B79,合并仓明细!$D$2:$F$74,3,0)</f>
        <v>93</v>
      </c>
      <c r="D79" t="s">
        <v>393</v>
      </c>
      <c r="E79" t="s">
        <v>267</v>
      </c>
      <c r="F79" t="s">
        <v>67</v>
      </c>
      <c r="G79">
        <v>18509.82</v>
      </c>
      <c r="H79">
        <v>19.360859999999999</v>
      </c>
      <c r="I79" s="38">
        <f>IF(H79&gt;30,QUOTIENT(H79,30)*VLOOKUP(D79,'报价表-配送'!$B$2:$I$6,8,0),0)+IF(AND(MOD(H79,30)&gt;18,MOD(H79,30)&lt;=30),1,0)*VLOOKUP(D79,'报价表-配送'!$B$2:$I$6,8,0)</f>
        <v>0</v>
      </c>
      <c r="J79" s="38">
        <f>IF(AND(MOD(H79,30)&gt;8,MOD(H79,30)&lt;=18),1*VLOOKUP(D79,'报价表-配送'!$B$2:$I$6,7,0),0)</f>
        <v>0</v>
      </c>
      <c r="K79" s="38">
        <f>IF(AND(MOD(H79,30)&lt;=8,MOD(H79,30)&gt;0),1,0)*VLOOKUP(D79,'报价表-配送'!$B$2:$I$6,6,0)</f>
        <v>0</v>
      </c>
      <c r="N79" s="38">
        <f t="shared" si="1"/>
        <v>0</v>
      </c>
    </row>
    <row r="80" spans="1:14" x14ac:dyDescent="0.25">
      <c r="A80" s="1" t="s">
        <v>99</v>
      </c>
      <c r="B80" t="s">
        <v>101</v>
      </c>
      <c r="C80" s="62">
        <f>VLOOKUP(B80,合并仓明细!$D$2:$F$74,3,0)</f>
        <v>93</v>
      </c>
      <c r="D80" t="s">
        <v>393</v>
      </c>
      <c r="E80" t="s">
        <v>267</v>
      </c>
      <c r="F80" t="s">
        <v>66</v>
      </c>
      <c r="G80">
        <v>851.04</v>
      </c>
      <c r="H80"/>
      <c r="N80" s="38">
        <f t="shared" si="1"/>
        <v>0</v>
      </c>
    </row>
    <row r="81" spans="1:14" x14ac:dyDescent="0.25">
      <c r="A81" s="1" t="s">
        <v>99</v>
      </c>
      <c r="B81" t="s">
        <v>101</v>
      </c>
      <c r="C81" s="62">
        <f>VLOOKUP(B81,合并仓明细!$D$2:$F$74,3,0)</f>
        <v>93</v>
      </c>
      <c r="D81" t="s">
        <v>393</v>
      </c>
      <c r="E81" t="s">
        <v>258</v>
      </c>
      <c r="F81" t="s">
        <v>68</v>
      </c>
      <c r="G81">
        <v>3589.11</v>
      </c>
      <c r="H81">
        <v>8.6744500000000002</v>
      </c>
      <c r="I81" s="46">
        <f>ROUNDUP(H81/30,0)*VLOOKUP(D81,'报价表-配送'!$B$2:$I$6,8,0)</f>
        <v>0</v>
      </c>
      <c r="N81" s="38">
        <f t="shared" si="1"/>
        <v>0</v>
      </c>
    </row>
    <row r="82" spans="1:14" x14ac:dyDescent="0.25">
      <c r="A82" s="1" t="s">
        <v>99</v>
      </c>
      <c r="B82" t="s">
        <v>101</v>
      </c>
      <c r="C82" s="62">
        <f>VLOOKUP(B82,合并仓明细!$D$2:$F$74,3,0)</f>
        <v>93</v>
      </c>
      <c r="D82" t="s">
        <v>393</v>
      </c>
      <c r="E82" t="s">
        <v>258</v>
      </c>
      <c r="F82" t="s">
        <v>67</v>
      </c>
      <c r="G82">
        <v>3547.4800000000005</v>
      </c>
      <c r="H82"/>
      <c r="I82" s="38"/>
      <c r="J82" s="38"/>
      <c r="K82" s="38"/>
      <c r="L82" s="37"/>
      <c r="M82" s="37"/>
      <c r="N82" s="38">
        <f t="shared" si="1"/>
        <v>0</v>
      </c>
    </row>
    <row r="83" spans="1:14" x14ac:dyDescent="0.25">
      <c r="A83" s="1" t="s">
        <v>99</v>
      </c>
      <c r="B83" t="s">
        <v>101</v>
      </c>
      <c r="C83" s="62">
        <f>VLOOKUP(B83,合并仓明细!$D$2:$F$74,3,0)</f>
        <v>93</v>
      </c>
      <c r="D83" t="s">
        <v>393</v>
      </c>
      <c r="E83" t="s">
        <v>258</v>
      </c>
      <c r="F83" t="s">
        <v>66</v>
      </c>
      <c r="G83">
        <v>1537.8600000000006</v>
      </c>
      <c r="H83"/>
      <c r="N83" s="38">
        <f t="shared" si="1"/>
        <v>0</v>
      </c>
    </row>
    <row r="84" spans="1:14" x14ac:dyDescent="0.25">
      <c r="A84" s="1" t="s">
        <v>99</v>
      </c>
      <c r="B84" t="s">
        <v>101</v>
      </c>
      <c r="C84" s="62">
        <f>VLOOKUP(B84,合并仓明细!$D$2:$F$74,3,0)</f>
        <v>93</v>
      </c>
      <c r="D84" t="s">
        <v>393</v>
      </c>
      <c r="E84" t="s">
        <v>268</v>
      </c>
      <c r="F84" t="s">
        <v>68</v>
      </c>
      <c r="G84">
        <v>6573.7500000000009</v>
      </c>
      <c r="H84">
        <v>13.472169999999998</v>
      </c>
      <c r="I84" s="46">
        <f>ROUNDUP(H84/30,0)*VLOOKUP(D84,'报价表-配送'!$B$2:$I$6,8,0)</f>
        <v>0</v>
      </c>
      <c r="N84" s="38">
        <f t="shared" si="1"/>
        <v>0</v>
      </c>
    </row>
    <row r="85" spans="1:14" x14ac:dyDescent="0.25">
      <c r="A85" s="1" t="s">
        <v>99</v>
      </c>
      <c r="B85" t="s">
        <v>101</v>
      </c>
      <c r="C85" s="62">
        <f>VLOOKUP(B85,合并仓明细!$D$2:$F$74,3,0)</f>
        <v>93</v>
      </c>
      <c r="D85" t="s">
        <v>393</v>
      </c>
      <c r="E85" t="s">
        <v>268</v>
      </c>
      <c r="F85" t="s">
        <v>67</v>
      </c>
      <c r="G85">
        <v>4940.57</v>
      </c>
      <c r="H85"/>
      <c r="N85" s="38">
        <f t="shared" si="1"/>
        <v>0</v>
      </c>
    </row>
    <row r="86" spans="1:14" x14ac:dyDescent="0.25">
      <c r="A86" s="1" t="s">
        <v>99</v>
      </c>
      <c r="B86" t="s">
        <v>101</v>
      </c>
      <c r="C86" s="62">
        <f>VLOOKUP(B86,合并仓明细!$D$2:$F$74,3,0)</f>
        <v>93</v>
      </c>
      <c r="D86" t="s">
        <v>393</v>
      </c>
      <c r="E86" t="s">
        <v>268</v>
      </c>
      <c r="F86" t="s">
        <v>66</v>
      </c>
      <c r="G86">
        <v>1957.8499999999995</v>
      </c>
      <c r="H86"/>
      <c r="N86" s="38">
        <f t="shared" si="1"/>
        <v>0</v>
      </c>
    </row>
    <row r="87" spans="1:14" x14ac:dyDescent="0.25">
      <c r="A87" s="1" t="s">
        <v>99</v>
      </c>
      <c r="B87" t="s">
        <v>101</v>
      </c>
      <c r="C87" s="62">
        <f>VLOOKUP(B87,合并仓明细!$D$2:$F$74,3,0)</f>
        <v>93</v>
      </c>
      <c r="D87" t="s">
        <v>393</v>
      </c>
      <c r="E87" t="s">
        <v>335</v>
      </c>
      <c r="F87" t="s">
        <v>68</v>
      </c>
      <c r="G87">
        <v>1379</v>
      </c>
      <c r="H87">
        <v>1.53583</v>
      </c>
      <c r="I87" s="46">
        <f>ROUNDUP(H87/30,0)*VLOOKUP(D87,'报价表-配送'!$B$2:$I$6,8,0)</f>
        <v>0</v>
      </c>
      <c r="N87" s="38">
        <f t="shared" si="1"/>
        <v>0</v>
      </c>
    </row>
    <row r="88" spans="1:14" x14ac:dyDescent="0.25">
      <c r="A88" s="1" t="s">
        <v>99</v>
      </c>
      <c r="B88" t="s">
        <v>101</v>
      </c>
      <c r="C88" s="62">
        <f>VLOOKUP(B88,合并仓明细!$D$2:$F$74,3,0)</f>
        <v>93</v>
      </c>
      <c r="D88" t="s">
        <v>393</v>
      </c>
      <c r="E88" t="s">
        <v>335</v>
      </c>
      <c r="F88" t="s">
        <v>66</v>
      </c>
      <c r="G88">
        <v>156.82999999999998</v>
      </c>
      <c r="H88"/>
      <c r="N88" s="38">
        <f t="shared" si="1"/>
        <v>0</v>
      </c>
    </row>
    <row r="89" spans="1:14" x14ac:dyDescent="0.25">
      <c r="A89" s="1" t="s">
        <v>99</v>
      </c>
      <c r="B89" t="s">
        <v>101</v>
      </c>
      <c r="C89" s="62">
        <f>VLOOKUP(B89,合并仓明细!$D$2:$F$74,3,0)</f>
        <v>93</v>
      </c>
      <c r="D89" t="s">
        <v>393</v>
      </c>
      <c r="E89" t="s">
        <v>354</v>
      </c>
      <c r="F89" t="s">
        <v>68</v>
      </c>
      <c r="G89">
        <v>281.47000000000003</v>
      </c>
      <c r="H89">
        <v>3.5243700000000002</v>
      </c>
      <c r="I89" s="46">
        <f>ROUNDUP(H89/30,0)*VLOOKUP(D89,'报价表-配送'!$B$2:$I$6,8,0)</f>
        <v>0</v>
      </c>
      <c r="N89" s="38">
        <f t="shared" si="1"/>
        <v>0</v>
      </c>
    </row>
    <row r="90" spans="1:14" x14ac:dyDescent="0.25">
      <c r="A90" s="1" t="s">
        <v>99</v>
      </c>
      <c r="B90" t="s">
        <v>101</v>
      </c>
      <c r="C90" s="62">
        <f>VLOOKUP(B90,合并仓明细!$D$2:$F$74,3,0)</f>
        <v>93</v>
      </c>
      <c r="D90" t="s">
        <v>393</v>
      </c>
      <c r="E90" t="s">
        <v>354</v>
      </c>
      <c r="F90" t="s">
        <v>67</v>
      </c>
      <c r="G90">
        <v>2888.59</v>
      </c>
      <c r="H90"/>
      <c r="L90" s="37"/>
      <c r="M90" s="39"/>
      <c r="N90" s="38">
        <f t="shared" si="1"/>
        <v>0</v>
      </c>
    </row>
    <row r="91" spans="1:14" x14ac:dyDescent="0.25">
      <c r="A91" s="1" t="s">
        <v>99</v>
      </c>
      <c r="B91" t="s">
        <v>101</v>
      </c>
      <c r="C91" s="62">
        <f>VLOOKUP(B91,合并仓明细!$D$2:$F$74,3,0)</f>
        <v>93</v>
      </c>
      <c r="D91" t="s">
        <v>393</v>
      </c>
      <c r="E91" t="s">
        <v>354</v>
      </c>
      <c r="F91" t="s">
        <v>66</v>
      </c>
      <c r="G91">
        <v>354.30999999999995</v>
      </c>
      <c r="H91"/>
      <c r="I91" s="46"/>
      <c r="N91" s="38">
        <f t="shared" si="1"/>
        <v>0</v>
      </c>
    </row>
    <row r="92" spans="1:14" x14ac:dyDescent="0.25">
      <c r="A92" s="1" t="s">
        <v>99</v>
      </c>
      <c r="B92" t="s">
        <v>101</v>
      </c>
      <c r="C92" s="62">
        <f>VLOOKUP(B92,合并仓明细!$D$2:$F$74,3,0)</f>
        <v>93</v>
      </c>
      <c r="D92" t="s">
        <v>393</v>
      </c>
      <c r="E92" t="s">
        <v>362</v>
      </c>
      <c r="F92" t="s">
        <v>67</v>
      </c>
      <c r="G92">
        <v>6975.86</v>
      </c>
      <c r="H92">
        <v>7.4759200000000003</v>
      </c>
      <c r="I92" s="38">
        <f>IF(H92&gt;30,QUOTIENT(H92,30)*VLOOKUP(D92,'报价表-配送'!$B$2:$I$6,8,0),0)+IF(AND(MOD(H92,30)&gt;18,MOD(H92,30)&lt;=30),1,0)*VLOOKUP(D92,'报价表-配送'!$B$2:$I$6,8,0)</f>
        <v>0</v>
      </c>
      <c r="J92" s="38">
        <f>IF(AND(MOD(H92,30)&gt;8,MOD(H92,30)&lt;=18),1*VLOOKUP(D92,'报价表-配送'!$B$2:$I$6,7,0),0)</f>
        <v>0</v>
      </c>
      <c r="K92" s="38">
        <f>IF(AND(MOD(H92,30)&lt;=8,MOD(H92,30)&gt;0),1,0)*VLOOKUP(D92,'报价表-配送'!$B$2:$I$6,6,0)</f>
        <v>0</v>
      </c>
      <c r="N92" s="38">
        <f t="shared" si="1"/>
        <v>0</v>
      </c>
    </row>
    <row r="93" spans="1:14" x14ac:dyDescent="0.25">
      <c r="A93" s="1" t="s">
        <v>99</v>
      </c>
      <c r="B93" t="s">
        <v>101</v>
      </c>
      <c r="C93" s="62">
        <f>VLOOKUP(B93,合并仓明细!$D$2:$F$74,3,0)</f>
        <v>93</v>
      </c>
      <c r="D93" t="s">
        <v>393</v>
      </c>
      <c r="E93" t="s">
        <v>362</v>
      </c>
      <c r="F93" t="s">
        <v>66</v>
      </c>
      <c r="G93">
        <v>500.06</v>
      </c>
      <c r="H93"/>
      <c r="N93" s="38">
        <f t="shared" si="1"/>
        <v>0</v>
      </c>
    </row>
    <row r="94" spans="1:14" x14ac:dyDescent="0.25">
      <c r="A94" s="1" t="s">
        <v>99</v>
      </c>
      <c r="B94" t="s">
        <v>101</v>
      </c>
      <c r="C94" s="62">
        <f>VLOOKUP(B94,合并仓明细!$D$2:$F$74,3,0)</f>
        <v>93</v>
      </c>
      <c r="D94" t="s">
        <v>393</v>
      </c>
      <c r="E94" t="s">
        <v>269</v>
      </c>
      <c r="F94" t="s">
        <v>67</v>
      </c>
      <c r="G94">
        <v>5722.27</v>
      </c>
      <c r="H94">
        <v>7.1092800000000009</v>
      </c>
      <c r="I94" s="38">
        <f>IF(H94&gt;30,QUOTIENT(H94,30)*VLOOKUP(D94,'报价表-配送'!$B$2:$I$6,8,0),0)+IF(AND(MOD(H94,30)&gt;18,MOD(H94,30)&lt;=30),1,0)*VLOOKUP(D94,'报价表-配送'!$B$2:$I$6,8,0)</f>
        <v>0</v>
      </c>
      <c r="J94" s="38">
        <f>IF(AND(MOD(H94,30)&gt;8,MOD(H94,30)&lt;=18),1*VLOOKUP(D94,'报价表-配送'!$B$2:$I$6,7,0),0)</f>
        <v>0</v>
      </c>
      <c r="K94" s="38">
        <f>IF(AND(MOD(H94,30)&lt;=8,MOD(H94,30)&gt;0),1,0)*VLOOKUP(D94,'报价表-配送'!$B$2:$I$6,6,0)</f>
        <v>0</v>
      </c>
      <c r="N94" s="38">
        <f t="shared" si="1"/>
        <v>0</v>
      </c>
    </row>
    <row r="95" spans="1:14" x14ac:dyDescent="0.25">
      <c r="A95" s="1" t="s">
        <v>99</v>
      </c>
      <c r="B95" t="s">
        <v>101</v>
      </c>
      <c r="C95" s="62">
        <f>VLOOKUP(B95,合并仓明细!$D$2:$F$74,3,0)</f>
        <v>93</v>
      </c>
      <c r="D95" t="s">
        <v>393</v>
      </c>
      <c r="E95" t="s">
        <v>269</v>
      </c>
      <c r="F95" t="s">
        <v>66</v>
      </c>
      <c r="G95">
        <v>1387.01</v>
      </c>
      <c r="H95"/>
      <c r="N95" s="38">
        <f t="shared" si="1"/>
        <v>0</v>
      </c>
    </row>
    <row r="96" spans="1:14" x14ac:dyDescent="0.25">
      <c r="A96" s="1" t="s">
        <v>99</v>
      </c>
      <c r="B96" t="s">
        <v>101</v>
      </c>
      <c r="C96" s="62">
        <f>VLOOKUP(B96,合并仓明细!$D$2:$F$74,3,0)</f>
        <v>93</v>
      </c>
      <c r="D96" t="s">
        <v>393</v>
      </c>
      <c r="E96" t="s">
        <v>270</v>
      </c>
      <c r="F96" t="s">
        <v>68</v>
      </c>
      <c r="G96">
        <v>2243.52</v>
      </c>
      <c r="H96">
        <v>4.1396999999999995</v>
      </c>
      <c r="I96" s="46">
        <f>ROUNDUP(H96/30,0)*VLOOKUP(D96,'报价表-配送'!$B$2:$I$6,8,0)</f>
        <v>0</v>
      </c>
      <c r="N96" s="38">
        <f t="shared" si="1"/>
        <v>0</v>
      </c>
    </row>
    <row r="97" spans="1:14" x14ac:dyDescent="0.25">
      <c r="A97" s="1" t="s">
        <v>99</v>
      </c>
      <c r="B97" t="s">
        <v>101</v>
      </c>
      <c r="C97" s="62">
        <f>VLOOKUP(B97,合并仓明细!$D$2:$F$74,3,0)</f>
        <v>93</v>
      </c>
      <c r="D97" t="s">
        <v>393</v>
      </c>
      <c r="E97" t="s">
        <v>270</v>
      </c>
      <c r="F97" t="s">
        <v>67</v>
      </c>
      <c r="G97">
        <v>1256.5</v>
      </c>
      <c r="H97"/>
      <c r="I97" s="46"/>
      <c r="N97" s="38">
        <f t="shared" si="1"/>
        <v>0</v>
      </c>
    </row>
    <row r="98" spans="1:14" x14ac:dyDescent="0.25">
      <c r="A98" s="1" t="s">
        <v>99</v>
      </c>
      <c r="B98" t="s">
        <v>101</v>
      </c>
      <c r="C98" s="62">
        <f>VLOOKUP(B98,合并仓明细!$D$2:$F$74,3,0)</f>
        <v>93</v>
      </c>
      <c r="D98" t="s">
        <v>393</v>
      </c>
      <c r="E98" t="s">
        <v>270</v>
      </c>
      <c r="F98" t="s">
        <v>66</v>
      </c>
      <c r="G98">
        <v>639.67999999999995</v>
      </c>
      <c r="H98"/>
      <c r="N98" s="38">
        <f t="shared" si="1"/>
        <v>0</v>
      </c>
    </row>
    <row r="99" spans="1:14" x14ac:dyDescent="0.25">
      <c r="A99" s="1" t="s">
        <v>99</v>
      </c>
      <c r="B99" t="s">
        <v>101</v>
      </c>
      <c r="C99" s="62">
        <f>VLOOKUP(B99,合并仓明细!$D$2:$F$74,3,0)</f>
        <v>93</v>
      </c>
      <c r="D99" t="s">
        <v>393</v>
      </c>
      <c r="E99" t="s">
        <v>271</v>
      </c>
      <c r="F99" t="s">
        <v>68</v>
      </c>
      <c r="G99">
        <v>1594.75</v>
      </c>
      <c r="H99">
        <v>2.0655600000000001</v>
      </c>
      <c r="I99" s="46">
        <f>ROUNDUP(H99/30,0)*VLOOKUP(D99,'报价表-配送'!$B$2:$I$6,8,0)</f>
        <v>0</v>
      </c>
      <c r="N99" s="38">
        <f t="shared" si="1"/>
        <v>0</v>
      </c>
    </row>
    <row r="100" spans="1:14" x14ac:dyDescent="0.25">
      <c r="A100" s="1" t="s">
        <v>99</v>
      </c>
      <c r="B100" t="s">
        <v>101</v>
      </c>
      <c r="C100" s="62">
        <f>VLOOKUP(B100,合并仓明细!$D$2:$F$74,3,0)</f>
        <v>93</v>
      </c>
      <c r="D100" t="s">
        <v>393</v>
      </c>
      <c r="E100" t="s">
        <v>271</v>
      </c>
      <c r="F100" t="s">
        <v>66</v>
      </c>
      <c r="G100">
        <v>470.81</v>
      </c>
      <c r="H100"/>
      <c r="I100" s="46"/>
      <c r="N100" s="38">
        <f t="shared" si="1"/>
        <v>0</v>
      </c>
    </row>
    <row r="101" spans="1:14" x14ac:dyDescent="0.25">
      <c r="A101" s="1" t="s">
        <v>99</v>
      </c>
      <c r="B101" t="s">
        <v>101</v>
      </c>
      <c r="C101" s="62">
        <f>VLOOKUP(B101,合并仓明细!$D$2:$F$74,3,0)</f>
        <v>93</v>
      </c>
      <c r="D101" t="s">
        <v>393</v>
      </c>
      <c r="E101" t="s">
        <v>272</v>
      </c>
      <c r="F101" t="s">
        <v>68</v>
      </c>
      <c r="G101">
        <v>512.41999999999996</v>
      </c>
      <c r="H101">
        <v>44.79204</v>
      </c>
      <c r="I101" s="46">
        <f>ROUNDUP(H101/30,0)*VLOOKUP(D101,'报价表-配送'!$B$2:$I$6,8,0)</f>
        <v>0</v>
      </c>
      <c r="N101" s="38">
        <f t="shared" si="1"/>
        <v>0</v>
      </c>
    </row>
    <row r="102" spans="1:14" x14ac:dyDescent="0.25">
      <c r="A102" s="1" t="s">
        <v>99</v>
      </c>
      <c r="B102" t="s">
        <v>101</v>
      </c>
      <c r="C102" s="62">
        <f>VLOOKUP(B102,合并仓明细!$D$2:$F$74,3,0)</f>
        <v>93</v>
      </c>
      <c r="D102" t="s">
        <v>393</v>
      </c>
      <c r="E102" t="s">
        <v>272</v>
      </c>
      <c r="F102" t="s">
        <v>67</v>
      </c>
      <c r="G102">
        <v>44255.310000000005</v>
      </c>
      <c r="H102"/>
      <c r="N102" s="38">
        <f t="shared" si="1"/>
        <v>0</v>
      </c>
    </row>
    <row r="103" spans="1:14" x14ac:dyDescent="0.25">
      <c r="A103" s="1" t="s">
        <v>99</v>
      </c>
      <c r="B103" t="s">
        <v>101</v>
      </c>
      <c r="C103" s="62">
        <f>VLOOKUP(B103,合并仓明细!$D$2:$F$74,3,0)</f>
        <v>93</v>
      </c>
      <c r="D103" t="s">
        <v>393</v>
      </c>
      <c r="E103" t="s">
        <v>272</v>
      </c>
      <c r="F103" t="s">
        <v>66</v>
      </c>
      <c r="G103">
        <v>24.310000000000002</v>
      </c>
      <c r="H103"/>
      <c r="L103" s="37"/>
      <c r="M103" s="39"/>
      <c r="N103" s="38">
        <f t="shared" si="1"/>
        <v>0</v>
      </c>
    </row>
    <row r="104" spans="1:14" x14ac:dyDescent="0.25">
      <c r="A104" s="1" t="s">
        <v>99</v>
      </c>
      <c r="B104" t="s">
        <v>101</v>
      </c>
      <c r="C104" s="62">
        <f>VLOOKUP(B104,合并仓明细!$D$2:$F$74,3,0)</f>
        <v>93</v>
      </c>
      <c r="D104" t="s">
        <v>393</v>
      </c>
      <c r="E104" t="s">
        <v>259</v>
      </c>
      <c r="F104" t="s">
        <v>68</v>
      </c>
      <c r="G104">
        <v>76.63</v>
      </c>
      <c r="H104">
        <v>1.96492</v>
      </c>
      <c r="I104" s="46">
        <f>ROUNDUP(H104/30,0)*VLOOKUP(D104,'报价表-配送'!$B$2:$I$6,8,0)</f>
        <v>0</v>
      </c>
      <c r="N104" s="38">
        <f t="shared" si="1"/>
        <v>0</v>
      </c>
    </row>
    <row r="105" spans="1:14" x14ac:dyDescent="0.25">
      <c r="A105" s="1" t="s">
        <v>99</v>
      </c>
      <c r="B105" t="s">
        <v>101</v>
      </c>
      <c r="C105" s="62">
        <f>VLOOKUP(B105,合并仓明细!$D$2:$F$74,3,0)</f>
        <v>93</v>
      </c>
      <c r="D105" t="s">
        <v>393</v>
      </c>
      <c r="E105" t="s">
        <v>259</v>
      </c>
      <c r="F105" t="s">
        <v>67</v>
      </c>
      <c r="G105">
        <v>245.64999999999998</v>
      </c>
      <c r="H105"/>
      <c r="N105" s="38">
        <f t="shared" si="1"/>
        <v>0</v>
      </c>
    </row>
    <row r="106" spans="1:14" x14ac:dyDescent="0.25">
      <c r="A106" s="1" t="s">
        <v>99</v>
      </c>
      <c r="B106" t="s">
        <v>101</v>
      </c>
      <c r="C106" s="62">
        <f>VLOOKUP(B106,合并仓明细!$D$2:$F$74,3,0)</f>
        <v>93</v>
      </c>
      <c r="D106" t="s">
        <v>393</v>
      </c>
      <c r="E106" t="s">
        <v>259</v>
      </c>
      <c r="F106" t="s">
        <v>66</v>
      </c>
      <c r="G106">
        <v>1642.64</v>
      </c>
      <c r="H106"/>
      <c r="N106" s="38">
        <f t="shared" si="1"/>
        <v>0</v>
      </c>
    </row>
    <row r="107" spans="1:14" x14ac:dyDescent="0.25">
      <c r="A107" s="1" t="s">
        <v>99</v>
      </c>
      <c r="B107" t="s">
        <v>101</v>
      </c>
      <c r="C107" s="62">
        <f>VLOOKUP(B107,合并仓明细!$D$2:$F$74,3,0)</f>
        <v>93</v>
      </c>
      <c r="D107" t="s">
        <v>393</v>
      </c>
      <c r="E107" t="s">
        <v>322</v>
      </c>
      <c r="F107" t="s">
        <v>66</v>
      </c>
      <c r="G107">
        <v>787.68000000000006</v>
      </c>
      <c r="H107">
        <v>0.78768000000000005</v>
      </c>
      <c r="I107" s="46"/>
      <c r="L107" s="37">
        <f>IF(H107&gt;30,QUOTIENT(H107,30)*VLOOKUP(D107,'报价表-配送'!$B$2:$I$6,8,0),0)+IF(AND(MOD(H107,30)&gt;18,MOD(H107,30)&lt;=30),1,0)*VLOOKUP(D107,'报价表-配送'!$B$2:$I$6,8,0)+IF(AND(MOD(H107,30)&gt;8,MOD(H107,30)&lt;=18),1*VLOOKUP(D107,'报价表-配送'!$B$2:$I$6,7,0),0)+IF(AND(MOD(H107,30)&lt;=8,MOD(H107,30)&gt;2.5),1,0)*VLOOKUP(D107,'报价表-配送'!$B$2:$I$6,6,0)+IF(AND(MOD(H107,30)&lt;=2.5,MOD(H107,30)&gt;=1.5),1,0)*VLOOKUP(D107,'报价表-配送'!$B$2:$I$6,5,0)</f>
        <v>0</v>
      </c>
      <c r="M107" s="39">
        <f>IF(AND(MOD(H107,30)&lt;1.5,MOD(H107,30)&gt;=0.5),H107,0)*VLOOKUP(D107,'报价表-配送'!$B$2:$I$6,4,0)*1000+IF(AND(MOD(H107,30)&lt;0.5,MOD(H107,30)&gt;=0.02),H107,0)*VLOOKUP(D107,'报价表-配送'!$B$2:$I$6,3,0)*1000+IF(AND(MOD(H107,30)&lt;0.02),H107,0)*VLOOKUP(D107,'报价表-配送'!$B$2:$I$6,2,0)*1000</f>
        <v>0</v>
      </c>
      <c r="N107" s="38">
        <f t="shared" si="1"/>
        <v>0</v>
      </c>
    </row>
    <row r="108" spans="1:14" x14ac:dyDescent="0.25">
      <c r="A108" s="1" t="s">
        <v>99</v>
      </c>
      <c r="B108" t="s">
        <v>101</v>
      </c>
      <c r="C108" s="62">
        <f>VLOOKUP(B108,合并仓明细!$D$2:$F$74,3,0)</f>
        <v>93</v>
      </c>
      <c r="D108" t="s">
        <v>393</v>
      </c>
      <c r="E108" t="s">
        <v>273</v>
      </c>
      <c r="F108" t="s">
        <v>67</v>
      </c>
      <c r="G108">
        <v>25501.479999999996</v>
      </c>
      <c r="H108">
        <v>26.354869999999995</v>
      </c>
      <c r="I108" s="38">
        <f>IF(H108&gt;30,QUOTIENT(H108,30)*VLOOKUP(D108,'报价表-配送'!$B$2:$I$6,8,0),0)+IF(AND(MOD(H108,30)&gt;18,MOD(H108,30)&lt;=30),1,0)*VLOOKUP(D108,'报价表-配送'!$B$2:$I$6,8,0)</f>
        <v>0</v>
      </c>
      <c r="J108" s="38">
        <f>IF(AND(MOD(H108,30)&gt;8,MOD(H108,30)&lt;=18),1*VLOOKUP(D108,'报价表-配送'!$B$2:$I$6,7,0),0)</f>
        <v>0</v>
      </c>
      <c r="K108" s="38">
        <f>IF(AND(MOD(H108,30)&lt;=8,MOD(H108,30)&gt;0),1,0)*VLOOKUP(D108,'报价表-配送'!$B$2:$I$6,6,0)</f>
        <v>0</v>
      </c>
      <c r="N108" s="38">
        <f t="shared" si="1"/>
        <v>0</v>
      </c>
    </row>
    <row r="109" spans="1:14" x14ac:dyDescent="0.25">
      <c r="A109" s="1" t="s">
        <v>99</v>
      </c>
      <c r="B109" t="s">
        <v>101</v>
      </c>
      <c r="C109" s="62">
        <f>VLOOKUP(B109,合并仓明细!$D$2:$F$74,3,0)</f>
        <v>93</v>
      </c>
      <c r="D109" t="s">
        <v>393</v>
      </c>
      <c r="E109" t="s">
        <v>273</v>
      </c>
      <c r="F109" t="s">
        <v>66</v>
      </c>
      <c r="G109">
        <v>853.38999999999987</v>
      </c>
      <c r="H109"/>
      <c r="N109" s="38">
        <f t="shared" si="1"/>
        <v>0</v>
      </c>
    </row>
    <row r="110" spans="1:14" x14ac:dyDescent="0.25">
      <c r="A110" s="1" t="s">
        <v>99</v>
      </c>
      <c r="B110" t="s">
        <v>101</v>
      </c>
      <c r="C110" s="62">
        <f>VLOOKUP(B110,合并仓明细!$D$2:$F$74,3,0)</f>
        <v>93</v>
      </c>
      <c r="D110" t="s">
        <v>393</v>
      </c>
      <c r="E110" t="s">
        <v>336</v>
      </c>
      <c r="F110" t="s">
        <v>66</v>
      </c>
      <c r="G110">
        <v>394.36</v>
      </c>
      <c r="H110">
        <v>0.39435999999999999</v>
      </c>
      <c r="I110" s="46"/>
      <c r="L110" s="37">
        <f>IF(H110&gt;30,QUOTIENT(H110,30)*VLOOKUP(D110,'报价表-配送'!$B$2:$I$6,8,0),0)+IF(AND(MOD(H110,30)&gt;18,MOD(H110,30)&lt;=30),1,0)*VLOOKUP(D110,'报价表-配送'!$B$2:$I$6,8,0)+IF(AND(MOD(H110,30)&gt;8,MOD(H110,30)&lt;=18),1*VLOOKUP(D110,'报价表-配送'!$B$2:$I$6,7,0),0)+IF(AND(MOD(H110,30)&lt;=8,MOD(H110,30)&gt;2.5),1,0)*VLOOKUP(D110,'报价表-配送'!$B$2:$I$6,6,0)+IF(AND(MOD(H110,30)&lt;=2.5,MOD(H110,30)&gt;=1.5),1,0)*VLOOKUP(D110,'报价表-配送'!$B$2:$I$6,5,0)</f>
        <v>0</v>
      </c>
      <c r="M110" s="39">
        <f>IF(AND(MOD(H110,30)&lt;1.5,MOD(H110,30)&gt;=0.5),H110,0)*VLOOKUP(D110,'报价表-配送'!$B$2:$I$6,4,0)*1000+IF(AND(MOD(H110,30)&lt;0.5,MOD(H110,30)&gt;=0.02),H110,0)*VLOOKUP(D110,'报价表-配送'!$B$2:$I$6,3,0)*1000+IF(AND(MOD(H110,30)&lt;0.02),H110,0)*VLOOKUP(D110,'报价表-配送'!$B$2:$I$6,2,0)*1000</f>
        <v>0</v>
      </c>
      <c r="N110" s="38">
        <f t="shared" si="1"/>
        <v>0</v>
      </c>
    </row>
    <row r="111" spans="1:14" x14ac:dyDescent="0.25">
      <c r="A111" s="1" t="s">
        <v>99</v>
      </c>
      <c r="B111" t="s">
        <v>101</v>
      </c>
      <c r="C111" s="62">
        <f>VLOOKUP(B111,合并仓明细!$D$2:$F$74,3,0)</f>
        <v>93</v>
      </c>
      <c r="D111" t="s">
        <v>393</v>
      </c>
      <c r="E111" t="s">
        <v>274</v>
      </c>
      <c r="F111" t="s">
        <v>66</v>
      </c>
      <c r="G111">
        <v>2000</v>
      </c>
      <c r="H111">
        <v>2</v>
      </c>
      <c r="L111" s="37">
        <f>IF(H111&gt;30,QUOTIENT(H111,30)*VLOOKUP(D111,'报价表-配送'!$B$2:$I$6,8,0),0)+IF(AND(MOD(H111,30)&gt;18,MOD(H111,30)&lt;=30),1,0)*VLOOKUP(D111,'报价表-配送'!$B$2:$I$6,8,0)+IF(AND(MOD(H111,30)&gt;8,MOD(H111,30)&lt;=18),1*VLOOKUP(D111,'报价表-配送'!$B$2:$I$6,7,0),0)+IF(AND(MOD(H111,30)&lt;=8,MOD(H111,30)&gt;2.5),1,0)*VLOOKUP(D111,'报价表-配送'!$B$2:$I$6,6,0)+IF(AND(MOD(H111,30)&lt;=2.5,MOD(H111,30)&gt;=1.5),1,0)*VLOOKUP(D111,'报价表-配送'!$B$2:$I$6,5,0)</f>
        <v>0</v>
      </c>
      <c r="M111" s="39">
        <f>IF(AND(MOD(H111,30)&lt;1.5,MOD(H111,30)&gt;=0.5),H111,0)*VLOOKUP(D111,'报价表-配送'!$B$2:$I$6,4,0)*1000+IF(AND(MOD(H111,30)&lt;0.5,MOD(H111,30)&gt;=0.02),H111,0)*VLOOKUP(D111,'报价表-配送'!$B$2:$I$6,3,0)*1000+IF(AND(MOD(H111,30)&lt;0.02),H111,0)*VLOOKUP(D111,'报价表-配送'!$B$2:$I$6,2,0)*1000</f>
        <v>0</v>
      </c>
      <c r="N111" s="38">
        <f t="shared" si="1"/>
        <v>0</v>
      </c>
    </row>
    <row r="112" spans="1:14" x14ac:dyDescent="0.25">
      <c r="A112" s="1" t="s">
        <v>99</v>
      </c>
      <c r="B112" t="s">
        <v>101</v>
      </c>
      <c r="C112" s="62">
        <f>VLOOKUP(B112,合并仓明细!$D$2:$F$74,3,0)</f>
        <v>93</v>
      </c>
      <c r="D112" t="s">
        <v>393</v>
      </c>
      <c r="E112" t="s">
        <v>275</v>
      </c>
      <c r="F112" t="s">
        <v>66</v>
      </c>
      <c r="G112">
        <v>14.2</v>
      </c>
      <c r="H112">
        <v>1.4199999999999999E-2</v>
      </c>
      <c r="I112" s="38"/>
      <c r="J112" s="38"/>
      <c r="K112" s="38"/>
      <c r="L112" s="37">
        <f>IF(H112&gt;30,QUOTIENT(H112,30)*VLOOKUP(D112,'报价表-配送'!$B$2:$I$6,8,0),0)+IF(AND(MOD(H112,30)&gt;18,MOD(H112,30)&lt;=30),1,0)*VLOOKUP(D112,'报价表-配送'!$B$2:$I$6,8,0)+IF(AND(MOD(H112,30)&gt;8,MOD(H112,30)&lt;=18),1*VLOOKUP(D112,'报价表-配送'!$B$2:$I$6,7,0),0)+IF(AND(MOD(H112,30)&lt;=8,MOD(H112,30)&gt;2.5),1,0)*VLOOKUP(D112,'报价表-配送'!$B$2:$I$6,6,0)+IF(AND(MOD(H112,30)&lt;=2.5,MOD(H112,30)&gt;=1.5),1,0)*VLOOKUP(D112,'报价表-配送'!$B$2:$I$6,5,0)</f>
        <v>0</v>
      </c>
      <c r="M112" s="39">
        <f>IF(AND(MOD(H112,30)&lt;1.5,MOD(H112,30)&gt;=0.5),H112,0)*VLOOKUP(D112,'报价表-配送'!$B$2:$I$6,4,0)*1000+IF(AND(MOD(H112,30)&lt;0.5,MOD(H112,30)&gt;=0.02),H112,0)*VLOOKUP(D112,'报价表-配送'!$B$2:$I$6,3,0)*1000+IF(AND(MOD(H112,30)&lt;0.02),H112,0)*VLOOKUP(D112,'报价表-配送'!$B$2:$I$6,2,0)*1000</f>
        <v>0</v>
      </c>
      <c r="N112" s="38">
        <f t="shared" si="1"/>
        <v>0</v>
      </c>
    </row>
    <row r="113" spans="1:14" x14ac:dyDescent="0.25">
      <c r="A113" s="1" t="s">
        <v>99</v>
      </c>
      <c r="B113" t="s">
        <v>101</v>
      </c>
      <c r="C113" s="62">
        <f>VLOOKUP(B113,合并仓明细!$D$2:$F$74,3,0)</f>
        <v>93</v>
      </c>
      <c r="D113" t="s">
        <v>393</v>
      </c>
      <c r="E113" t="s">
        <v>346</v>
      </c>
      <c r="F113" t="s">
        <v>66</v>
      </c>
      <c r="G113">
        <v>276.39999999999998</v>
      </c>
      <c r="H113">
        <v>0.27639999999999998</v>
      </c>
      <c r="L113" s="37">
        <f>IF(H113&gt;30,QUOTIENT(H113,30)*VLOOKUP(D113,'报价表-配送'!$B$2:$I$6,8,0),0)+IF(AND(MOD(H113,30)&gt;18,MOD(H113,30)&lt;=30),1,0)*VLOOKUP(D113,'报价表-配送'!$B$2:$I$6,8,0)+IF(AND(MOD(H113,30)&gt;8,MOD(H113,30)&lt;=18),1*VLOOKUP(D113,'报价表-配送'!$B$2:$I$6,7,0),0)+IF(AND(MOD(H113,30)&lt;=8,MOD(H113,30)&gt;2.5),1,0)*VLOOKUP(D113,'报价表-配送'!$B$2:$I$6,6,0)+IF(AND(MOD(H113,30)&lt;=2.5,MOD(H113,30)&gt;=1.5),1,0)*VLOOKUP(D113,'报价表-配送'!$B$2:$I$6,5,0)</f>
        <v>0</v>
      </c>
      <c r="M113" s="39">
        <f>IF(AND(MOD(H113,30)&lt;1.5,MOD(H113,30)&gt;=0.5),H113,0)*VLOOKUP(D113,'报价表-配送'!$B$2:$I$6,4,0)*1000+IF(AND(MOD(H113,30)&lt;0.5,MOD(H113,30)&gt;=0.02),H113,0)*VLOOKUP(D113,'报价表-配送'!$B$2:$I$6,3,0)*1000+IF(AND(MOD(H113,30)&lt;0.02),H113,0)*VLOOKUP(D113,'报价表-配送'!$B$2:$I$6,2,0)*1000</f>
        <v>0</v>
      </c>
      <c r="N113" s="38">
        <f t="shared" si="1"/>
        <v>0</v>
      </c>
    </row>
    <row r="114" spans="1:14" x14ac:dyDescent="0.25">
      <c r="A114" s="1" t="s">
        <v>99</v>
      </c>
      <c r="B114" t="s">
        <v>101</v>
      </c>
      <c r="C114" s="62">
        <f>VLOOKUP(B114,合并仓明细!$D$2:$F$74,3,0)</f>
        <v>93</v>
      </c>
      <c r="D114" t="s">
        <v>393</v>
      </c>
      <c r="E114" t="s">
        <v>276</v>
      </c>
      <c r="F114" t="s">
        <v>66</v>
      </c>
      <c r="G114">
        <v>80</v>
      </c>
      <c r="H114">
        <v>0.08</v>
      </c>
      <c r="I114" s="46"/>
      <c r="L114" s="37">
        <f>IF(H114&gt;30,QUOTIENT(H114,30)*VLOOKUP(D114,'报价表-配送'!$B$2:$I$6,8,0),0)+IF(AND(MOD(H114,30)&gt;18,MOD(H114,30)&lt;=30),1,0)*VLOOKUP(D114,'报价表-配送'!$B$2:$I$6,8,0)+IF(AND(MOD(H114,30)&gt;8,MOD(H114,30)&lt;=18),1*VLOOKUP(D114,'报价表-配送'!$B$2:$I$6,7,0),0)+IF(AND(MOD(H114,30)&lt;=8,MOD(H114,30)&gt;2.5),1,0)*VLOOKUP(D114,'报价表-配送'!$B$2:$I$6,6,0)+IF(AND(MOD(H114,30)&lt;=2.5,MOD(H114,30)&gt;=1.5),1,0)*VLOOKUP(D114,'报价表-配送'!$B$2:$I$6,5,0)</f>
        <v>0</v>
      </c>
      <c r="M114" s="39">
        <f>IF(AND(MOD(H114,30)&lt;1.5,MOD(H114,30)&gt;=0.5),H114,0)*VLOOKUP(D114,'报价表-配送'!$B$2:$I$6,4,0)*1000+IF(AND(MOD(H114,30)&lt;0.5,MOD(H114,30)&gt;=0.02),H114,0)*VLOOKUP(D114,'报价表-配送'!$B$2:$I$6,3,0)*1000+IF(AND(MOD(H114,30)&lt;0.02),H114,0)*VLOOKUP(D114,'报价表-配送'!$B$2:$I$6,2,0)*1000</f>
        <v>0</v>
      </c>
      <c r="N114" s="38">
        <f t="shared" si="1"/>
        <v>0</v>
      </c>
    </row>
    <row r="115" spans="1:14" x14ac:dyDescent="0.25">
      <c r="A115" s="1" t="s">
        <v>99</v>
      </c>
      <c r="B115" t="s">
        <v>101</v>
      </c>
      <c r="C115" s="62">
        <f>VLOOKUP(B115,合并仓明细!$D$2:$F$74,3,0)</f>
        <v>93</v>
      </c>
      <c r="D115" t="s">
        <v>393</v>
      </c>
      <c r="E115" t="s">
        <v>277</v>
      </c>
      <c r="F115" t="s">
        <v>68</v>
      </c>
      <c r="G115">
        <v>9240.66</v>
      </c>
      <c r="H115">
        <v>94.455599999999976</v>
      </c>
      <c r="I115" s="46">
        <f>ROUNDUP(H115/30,0)*VLOOKUP(D115,'报价表-配送'!$B$2:$I$6,8,0)</f>
        <v>0</v>
      </c>
      <c r="N115" s="38">
        <f t="shared" si="1"/>
        <v>0</v>
      </c>
    </row>
    <row r="116" spans="1:14" x14ac:dyDescent="0.25">
      <c r="A116" s="1" t="s">
        <v>99</v>
      </c>
      <c r="B116" t="s">
        <v>101</v>
      </c>
      <c r="C116" s="62">
        <f>VLOOKUP(B116,合并仓明细!$D$2:$F$74,3,0)</f>
        <v>93</v>
      </c>
      <c r="D116" t="s">
        <v>393</v>
      </c>
      <c r="E116" t="s">
        <v>277</v>
      </c>
      <c r="F116" t="s">
        <v>67</v>
      </c>
      <c r="G116">
        <v>77154.129999999976</v>
      </c>
      <c r="H116"/>
      <c r="N116" s="38">
        <f t="shared" si="1"/>
        <v>0</v>
      </c>
    </row>
    <row r="117" spans="1:14" x14ac:dyDescent="0.25">
      <c r="A117" s="1" t="s">
        <v>99</v>
      </c>
      <c r="B117" t="s">
        <v>101</v>
      </c>
      <c r="C117" s="62">
        <f>VLOOKUP(B117,合并仓明细!$D$2:$F$74,3,0)</f>
        <v>93</v>
      </c>
      <c r="D117" t="s">
        <v>393</v>
      </c>
      <c r="E117" t="s">
        <v>277</v>
      </c>
      <c r="F117" t="s">
        <v>66</v>
      </c>
      <c r="G117">
        <v>8060.8100000000022</v>
      </c>
      <c r="H117"/>
      <c r="I117" s="46"/>
      <c r="N117" s="38">
        <f t="shared" si="1"/>
        <v>0</v>
      </c>
    </row>
    <row r="118" spans="1:14" x14ac:dyDescent="0.25">
      <c r="A118" s="1" t="s">
        <v>99</v>
      </c>
      <c r="B118" t="s">
        <v>101</v>
      </c>
      <c r="C118" s="62">
        <f>VLOOKUP(B118,合并仓明细!$D$2:$F$74,3,0)</f>
        <v>93</v>
      </c>
      <c r="D118" t="s">
        <v>393</v>
      </c>
      <c r="E118" t="s">
        <v>361</v>
      </c>
      <c r="F118" t="s">
        <v>67</v>
      </c>
      <c r="G118">
        <v>20788.39</v>
      </c>
      <c r="H118">
        <v>24.632200000000001</v>
      </c>
      <c r="I118" s="38">
        <f>IF(H118&gt;30,QUOTIENT(H118,30)*VLOOKUP(D118,'报价表-配送'!$B$2:$I$6,8,0),0)+IF(AND(MOD(H118,30)&gt;18,MOD(H118,30)&lt;=30),1,0)*VLOOKUP(D118,'报价表-配送'!$B$2:$I$6,8,0)</f>
        <v>0</v>
      </c>
      <c r="J118" s="38">
        <f>IF(AND(MOD(H118,30)&gt;8,MOD(H118,30)&lt;=18),1*VLOOKUP(D118,'报价表-配送'!$B$2:$I$6,7,0),0)</f>
        <v>0</v>
      </c>
      <c r="K118" s="38">
        <f>IF(AND(MOD(H118,30)&lt;=8,MOD(H118,30)&gt;0),1,0)*VLOOKUP(D118,'报价表-配送'!$B$2:$I$6,6,0)</f>
        <v>0</v>
      </c>
      <c r="N118" s="38">
        <f t="shared" si="1"/>
        <v>0</v>
      </c>
    </row>
    <row r="119" spans="1:14" x14ac:dyDescent="0.25">
      <c r="A119" s="1" t="s">
        <v>99</v>
      </c>
      <c r="B119" t="s">
        <v>101</v>
      </c>
      <c r="C119" s="62">
        <f>VLOOKUP(B119,合并仓明细!$D$2:$F$74,3,0)</f>
        <v>93</v>
      </c>
      <c r="D119" t="s">
        <v>393</v>
      </c>
      <c r="E119" t="s">
        <v>361</v>
      </c>
      <c r="F119" t="s">
        <v>66</v>
      </c>
      <c r="G119">
        <v>3843.8100000000022</v>
      </c>
      <c r="H119"/>
      <c r="N119" s="38">
        <f t="shared" si="1"/>
        <v>0</v>
      </c>
    </row>
    <row r="120" spans="1:14" x14ac:dyDescent="0.25">
      <c r="A120" s="1" t="s">
        <v>99</v>
      </c>
      <c r="B120" t="s">
        <v>101</v>
      </c>
      <c r="C120" s="62">
        <f>VLOOKUP(B120,合并仓明细!$D$2:$F$74,3,0)</f>
        <v>93</v>
      </c>
      <c r="D120" t="s">
        <v>393</v>
      </c>
      <c r="E120" t="s">
        <v>381</v>
      </c>
      <c r="F120" t="s">
        <v>68</v>
      </c>
      <c r="G120">
        <v>1123.7</v>
      </c>
      <c r="H120">
        <v>3.0230200000000003</v>
      </c>
      <c r="I120" s="46">
        <f>ROUNDUP(H120/30,0)*VLOOKUP(D120,'报价表-配送'!$B$2:$I$6,8,0)</f>
        <v>0</v>
      </c>
      <c r="N120" s="38">
        <f t="shared" si="1"/>
        <v>0</v>
      </c>
    </row>
    <row r="121" spans="1:14" x14ac:dyDescent="0.25">
      <c r="A121" s="1" t="s">
        <v>99</v>
      </c>
      <c r="B121" t="s">
        <v>101</v>
      </c>
      <c r="C121" s="62">
        <f>VLOOKUP(B121,合并仓明细!$D$2:$F$74,3,0)</f>
        <v>93</v>
      </c>
      <c r="D121" t="s">
        <v>393</v>
      </c>
      <c r="E121" t="s">
        <v>381</v>
      </c>
      <c r="F121" t="s">
        <v>66</v>
      </c>
      <c r="G121">
        <v>1899.3200000000002</v>
      </c>
      <c r="H121"/>
      <c r="N121" s="38">
        <f t="shared" si="1"/>
        <v>0</v>
      </c>
    </row>
    <row r="122" spans="1:14" x14ac:dyDescent="0.25">
      <c r="A122" s="1" t="s">
        <v>99</v>
      </c>
      <c r="B122" t="s">
        <v>101</v>
      </c>
      <c r="C122" s="62">
        <f>VLOOKUP(B122,合并仓明细!$D$2:$F$74,3,0)</f>
        <v>93</v>
      </c>
      <c r="D122" t="s">
        <v>393</v>
      </c>
      <c r="E122" t="s">
        <v>278</v>
      </c>
      <c r="F122" t="s">
        <v>68</v>
      </c>
      <c r="G122">
        <v>1445.01</v>
      </c>
      <c r="H122">
        <v>31.414150000000003</v>
      </c>
      <c r="I122" s="46">
        <f>ROUNDUP(H122/30,0)*VLOOKUP(D122,'报价表-配送'!$B$2:$I$6,8,0)</f>
        <v>0</v>
      </c>
      <c r="N122" s="38">
        <f t="shared" si="1"/>
        <v>0</v>
      </c>
    </row>
    <row r="123" spans="1:14" x14ac:dyDescent="0.25">
      <c r="A123" s="1" t="s">
        <v>99</v>
      </c>
      <c r="B123" t="s">
        <v>101</v>
      </c>
      <c r="C123" s="62">
        <f>VLOOKUP(B123,合并仓明细!$D$2:$F$74,3,0)</f>
        <v>93</v>
      </c>
      <c r="D123" t="s">
        <v>393</v>
      </c>
      <c r="E123" t="s">
        <v>278</v>
      </c>
      <c r="F123" t="s">
        <v>67</v>
      </c>
      <c r="G123">
        <v>29504.690000000002</v>
      </c>
      <c r="H123"/>
      <c r="N123" s="38">
        <f t="shared" si="1"/>
        <v>0</v>
      </c>
    </row>
    <row r="124" spans="1:14" x14ac:dyDescent="0.25">
      <c r="A124" s="1" t="s">
        <v>99</v>
      </c>
      <c r="B124" t="s">
        <v>101</v>
      </c>
      <c r="C124" s="62">
        <f>VLOOKUP(B124,合并仓明细!$D$2:$F$74,3,0)</f>
        <v>93</v>
      </c>
      <c r="D124" t="s">
        <v>393</v>
      </c>
      <c r="E124" t="s">
        <v>278</v>
      </c>
      <c r="F124" t="s">
        <v>66</v>
      </c>
      <c r="G124">
        <v>464.44999999999993</v>
      </c>
      <c r="H124"/>
      <c r="N124" s="38">
        <f t="shared" si="1"/>
        <v>0</v>
      </c>
    </row>
    <row r="125" spans="1:14" x14ac:dyDescent="0.25">
      <c r="A125" s="1" t="s">
        <v>99</v>
      </c>
      <c r="B125" t="s">
        <v>101</v>
      </c>
      <c r="C125" s="62">
        <f>VLOOKUP(B125,合并仓明细!$D$2:$F$74,3,0)</f>
        <v>93</v>
      </c>
      <c r="D125" t="s">
        <v>393</v>
      </c>
      <c r="E125" t="s">
        <v>311</v>
      </c>
      <c r="F125" t="s">
        <v>68</v>
      </c>
      <c r="G125">
        <v>854.04</v>
      </c>
      <c r="H125">
        <v>13.58947</v>
      </c>
      <c r="I125" s="46">
        <f>ROUNDUP(H125/30,0)*VLOOKUP(D125,'报价表-配送'!$B$2:$I$6,8,0)</f>
        <v>0</v>
      </c>
      <c r="N125" s="38">
        <f t="shared" si="1"/>
        <v>0</v>
      </c>
    </row>
    <row r="126" spans="1:14" x14ac:dyDescent="0.25">
      <c r="A126" s="1" t="s">
        <v>99</v>
      </c>
      <c r="B126" t="s">
        <v>101</v>
      </c>
      <c r="C126" s="62">
        <f>VLOOKUP(B126,合并仓明细!$D$2:$F$74,3,0)</f>
        <v>93</v>
      </c>
      <c r="D126" t="s">
        <v>393</v>
      </c>
      <c r="E126" t="s">
        <v>311</v>
      </c>
      <c r="F126" t="s">
        <v>67</v>
      </c>
      <c r="G126">
        <v>10751</v>
      </c>
      <c r="H126"/>
      <c r="N126" s="38">
        <f t="shared" si="1"/>
        <v>0</v>
      </c>
    </row>
    <row r="127" spans="1:14" x14ac:dyDescent="0.25">
      <c r="A127" s="1" t="s">
        <v>99</v>
      </c>
      <c r="B127" t="s">
        <v>101</v>
      </c>
      <c r="C127" s="62">
        <f>VLOOKUP(B127,合并仓明细!$D$2:$F$74,3,0)</f>
        <v>93</v>
      </c>
      <c r="D127" t="s">
        <v>393</v>
      </c>
      <c r="E127" t="s">
        <v>311</v>
      </c>
      <c r="F127" t="s">
        <v>66</v>
      </c>
      <c r="G127">
        <v>1984.4300000000005</v>
      </c>
      <c r="H127"/>
      <c r="N127" s="38">
        <f t="shared" si="1"/>
        <v>0</v>
      </c>
    </row>
    <row r="128" spans="1:14" x14ac:dyDescent="0.25">
      <c r="A128" s="1" t="s">
        <v>99</v>
      </c>
      <c r="B128" t="s">
        <v>101</v>
      </c>
      <c r="C128" s="62">
        <f>VLOOKUP(B128,合并仓明细!$D$2:$F$74,3,0)</f>
        <v>93</v>
      </c>
      <c r="D128" t="s">
        <v>393</v>
      </c>
      <c r="E128" t="s">
        <v>279</v>
      </c>
      <c r="F128" t="s">
        <v>67</v>
      </c>
      <c r="G128">
        <v>20511.23</v>
      </c>
      <c r="H128">
        <v>22.713750000000001</v>
      </c>
      <c r="I128" s="38">
        <f>IF(H128&gt;30,QUOTIENT(H128,30)*VLOOKUP(D128,'报价表-配送'!$B$2:$I$6,8,0),0)+IF(AND(MOD(H128,30)&gt;18,MOD(H128,30)&lt;=30),1,0)*VLOOKUP(D128,'报价表-配送'!$B$2:$I$6,8,0)</f>
        <v>0</v>
      </c>
      <c r="J128" s="38">
        <f>IF(AND(MOD(H128,30)&gt;8,MOD(H128,30)&lt;=18),1*VLOOKUP(D128,'报价表-配送'!$B$2:$I$6,7,0),0)</f>
        <v>0</v>
      </c>
      <c r="K128" s="38">
        <f>IF(AND(MOD(H128,30)&lt;=8,MOD(H128,30)&gt;0),1,0)*VLOOKUP(D128,'报价表-配送'!$B$2:$I$6,6,0)</f>
        <v>0</v>
      </c>
      <c r="N128" s="38">
        <f t="shared" si="1"/>
        <v>0</v>
      </c>
    </row>
    <row r="129" spans="1:14" x14ac:dyDescent="0.25">
      <c r="A129" s="1" t="s">
        <v>99</v>
      </c>
      <c r="B129" t="s">
        <v>101</v>
      </c>
      <c r="C129" s="62">
        <f>VLOOKUP(B129,合并仓明细!$D$2:$F$74,3,0)</f>
        <v>93</v>
      </c>
      <c r="D129" t="s">
        <v>393</v>
      </c>
      <c r="E129" t="s">
        <v>279</v>
      </c>
      <c r="F129" t="s">
        <v>66</v>
      </c>
      <c r="G129">
        <v>2202.5199999999991</v>
      </c>
      <c r="H129"/>
      <c r="N129" s="38">
        <f t="shared" si="1"/>
        <v>0</v>
      </c>
    </row>
    <row r="130" spans="1:14" x14ac:dyDescent="0.25">
      <c r="A130" s="1" t="s">
        <v>99</v>
      </c>
      <c r="B130" t="s">
        <v>101</v>
      </c>
      <c r="C130" s="62">
        <f>VLOOKUP(B130,合并仓明细!$D$2:$F$74,3,0)</f>
        <v>93</v>
      </c>
      <c r="D130" t="s">
        <v>393</v>
      </c>
      <c r="E130" t="s">
        <v>347</v>
      </c>
      <c r="F130" t="s">
        <v>68</v>
      </c>
      <c r="G130">
        <v>468.44000000000005</v>
      </c>
      <c r="H130">
        <v>17.951030000000003</v>
      </c>
      <c r="I130" s="46">
        <f>ROUNDUP(H130/30,0)*VLOOKUP(D130,'报价表-配送'!$B$2:$I$6,8,0)</f>
        <v>0</v>
      </c>
      <c r="N130" s="38">
        <f t="shared" si="1"/>
        <v>0</v>
      </c>
    </row>
    <row r="131" spans="1:14" x14ac:dyDescent="0.25">
      <c r="A131" s="1" t="s">
        <v>99</v>
      </c>
      <c r="B131" t="s">
        <v>101</v>
      </c>
      <c r="C131" s="62">
        <f>VLOOKUP(B131,合并仓明细!$D$2:$F$74,3,0)</f>
        <v>93</v>
      </c>
      <c r="D131" t="s">
        <v>393</v>
      </c>
      <c r="E131" t="s">
        <v>347</v>
      </c>
      <c r="F131" t="s">
        <v>67</v>
      </c>
      <c r="G131">
        <v>14902.1</v>
      </c>
      <c r="H131"/>
      <c r="I131" s="38"/>
      <c r="J131" s="38"/>
      <c r="K131" s="38"/>
      <c r="L131" s="37"/>
      <c r="M131" s="37"/>
      <c r="N131" s="38">
        <f t="shared" si="1"/>
        <v>0</v>
      </c>
    </row>
    <row r="132" spans="1:14" x14ac:dyDescent="0.25">
      <c r="A132" s="1" t="s">
        <v>99</v>
      </c>
      <c r="B132" t="s">
        <v>101</v>
      </c>
      <c r="C132" s="62">
        <f>VLOOKUP(B132,合并仓明细!$D$2:$F$74,3,0)</f>
        <v>93</v>
      </c>
      <c r="D132" t="s">
        <v>393</v>
      </c>
      <c r="E132" t="s">
        <v>347</v>
      </c>
      <c r="F132" t="s">
        <v>66</v>
      </c>
      <c r="G132">
        <v>2580.4900000000002</v>
      </c>
      <c r="H132"/>
      <c r="N132" s="38">
        <f t="shared" si="1"/>
        <v>0</v>
      </c>
    </row>
    <row r="133" spans="1:14" x14ac:dyDescent="0.25">
      <c r="A133" s="1" t="s">
        <v>99</v>
      </c>
      <c r="B133" t="s">
        <v>101</v>
      </c>
      <c r="C133" s="62">
        <f>VLOOKUP(B133,合并仓明细!$D$2:$F$74,3,0)</f>
        <v>93</v>
      </c>
      <c r="D133" t="s">
        <v>393</v>
      </c>
      <c r="E133" t="s">
        <v>246</v>
      </c>
      <c r="F133" t="s">
        <v>68</v>
      </c>
      <c r="G133">
        <v>8161.9600000000009</v>
      </c>
      <c r="H133">
        <v>18.52853</v>
      </c>
      <c r="I133" s="46">
        <f>ROUNDUP(H133/30,0)*VLOOKUP(D133,'报价表-配送'!$B$2:$I$6,8,0)</f>
        <v>0</v>
      </c>
      <c r="N133" s="38">
        <f t="shared" si="1"/>
        <v>0</v>
      </c>
    </row>
    <row r="134" spans="1:14" x14ac:dyDescent="0.25">
      <c r="A134" s="1" t="s">
        <v>99</v>
      </c>
      <c r="B134" t="s">
        <v>101</v>
      </c>
      <c r="C134" s="62">
        <f>VLOOKUP(B134,合并仓明细!$D$2:$F$74,3,0)</f>
        <v>93</v>
      </c>
      <c r="D134" t="s">
        <v>393</v>
      </c>
      <c r="E134" t="s">
        <v>246</v>
      </c>
      <c r="F134" t="s">
        <v>67</v>
      </c>
      <c r="G134">
        <v>9867.7099999999973</v>
      </c>
      <c r="H134"/>
      <c r="N134" s="38">
        <f t="shared" si="1"/>
        <v>0</v>
      </c>
    </row>
    <row r="135" spans="1:14" x14ac:dyDescent="0.25">
      <c r="A135" s="1" t="s">
        <v>99</v>
      </c>
      <c r="B135" t="s">
        <v>101</v>
      </c>
      <c r="C135" s="62">
        <f>VLOOKUP(B135,合并仓明细!$D$2:$F$74,3,0)</f>
        <v>93</v>
      </c>
      <c r="D135" t="s">
        <v>393</v>
      </c>
      <c r="E135" t="s">
        <v>246</v>
      </c>
      <c r="F135" t="s">
        <v>66</v>
      </c>
      <c r="G135">
        <v>498.86</v>
      </c>
      <c r="H135"/>
      <c r="N135" s="38">
        <f t="shared" si="1"/>
        <v>0</v>
      </c>
    </row>
    <row r="136" spans="1:14" x14ac:dyDescent="0.25">
      <c r="A136" s="1" t="s">
        <v>99</v>
      </c>
      <c r="B136" t="s">
        <v>101</v>
      </c>
      <c r="C136" s="62">
        <f>VLOOKUP(B136,合并仓明细!$D$2:$F$74,3,0)</f>
        <v>93</v>
      </c>
      <c r="D136" t="s">
        <v>393</v>
      </c>
      <c r="E136" t="s">
        <v>352</v>
      </c>
      <c r="F136" t="s">
        <v>68</v>
      </c>
      <c r="G136">
        <v>2284.54</v>
      </c>
      <c r="H136">
        <v>18.788209999999999</v>
      </c>
      <c r="I136" s="46">
        <f>ROUNDUP(H136/30,0)*VLOOKUP(D136,'报价表-配送'!$B$2:$I$6,8,0)</f>
        <v>0</v>
      </c>
      <c r="N136" s="38">
        <f t="shared" si="1"/>
        <v>0</v>
      </c>
    </row>
    <row r="137" spans="1:14" x14ac:dyDescent="0.25">
      <c r="A137" s="1" t="s">
        <v>99</v>
      </c>
      <c r="B137" t="s">
        <v>101</v>
      </c>
      <c r="C137" s="62">
        <f>VLOOKUP(B137,合并仓明细!$D$2:$F$74,3,0)</f>
        <v>93</v>
      </c>
      <c r="D137" t="s">
        <v>393</v>
      </c>
      <c r="E137" t="s">
        <v>352</v>
      </c>
      <c r="F137" t="s">
        <v>67</v>
      </c>
      <c r="G137">
        <v>15664.26</v>
      </c>
      <c r="H137"/>
      <c r="N137" s="38">
        <f t="shared" si="1"/>
        <v>0</v>
      </c>
    </row>
    <row r="138" spans="1:14" x14ac:dyDescent="0.25">
      <c r="A138" s="1" t="s">
        <v>99</v>
      </c>
      <c r="B138" t="s">
        <v>101</v>
      </c>
      <c r="C138" s="62">
        <f>VLOOKUP(B138,合并仓明细!$D$2:$F$74,3,0)</f>
        <v>93</v>
      </c>
      <c r="D138" t="s">
        <v>393</v>
      </c>
      <c r="E138" t="s">
        <v>352</v>
      </c>
      <c r="F138" t="s">
        <v>66</v>
      </c>
      <c r="G138">
        <v>839.40999999999974</v>
      </c>
      <c r="H138"/>
      <c r="N138" s="38">
        <f t="shared" si="1"/>
        <v>0</v>
      </c>
    </row>
    <row r="139" spans="1:14" x14ac:dyDescent="0.25">
      <c r="A139" s="1" t="s">
        <v>99</v>
      </c>
      <c r="B139" t="s">
        <v>101</v>
      </c>
      <c r="C139" s="62">
        <f>VLOOKUP(B139,合并仓明细!$D$2:$F$74,3,0)</f>
        <v>93</v>
      </c>
      <c r="D139" t="s">
        <v>393</v>
      </c>
      <c r="E139" t="s">
        <v>280</v>
      </c>
      <c r="F139" t="s">
        <v>68</v>
      </c>
      <c r="G139">
        <v>5229.95</v>
      </c>
      <c r="H139">
        <v>5.9309099999999999</v>
      </c>
      <c r="I139" s="46">
        <f>ROUNDUP(H139/30,0)*VLOOKUP(D139,'报价表-配送'!$B$2:$I$6,8,0)</f>
        <v>0</v>
      </c>
      <c r="N139" s="38">
        <f t="shared" si="1"/>
        <v>0</v>
      </c>
    </row>
    <row r="140" spans="1:14" x14ac:dyDescent="0.25">
      <c r="A140" s="1" t="s">
        <v>99</v>
      </c>
      <c r="B140" t="s">
        <v>101</v>
      </c>
      <c r="C140" s="62">
        <f>VLOOKUP(B140,合并仓明细!$D$2:$F$74,3,0)</f>
        <v>93</v>
      </c>
      <c r="D140" t="s">
        <v>393</v>
      </c>
      <c r="E140" t="s">
        <v>280</v>
      </c>
      <c r="F140" t="s">
        <v>67</v>
      </c>
      <c r="G140">
        <v>66.489999999999995</v>
      </c>
      <c r="H140"/>
      <c r="N140" s="38">
        <f t="shared" ref="N140:N203" si="2">SUM(I140:M140)</f>
        <v>0</v>
      </c>
    </row>
    <row r="141" spans="1:14" x14ac:dyDescent="0.25">
      <c r="A141" s="1" t="s">
        <v>99</v>
      </c>
      <c r="B141" t="s">
        <v>101</v>
      </c>
      <c r="C141" s="62">
        <f>VLOOKUP(B141,合并仓明细!$D$2:$F$74,3,0)</f>
        <v>93</v>
      </c>
      <c r="D141" t="s">
        <v>393</v>
      </c>
      <c r="E141" t="s">
        <v>280</v>
      </c>
      <c r="F141" t="s">
        <v>66</v>
      </c>
      <c r="G141">
        <v>634.47</v>
      </c>
      <c r="H141"/>
      <c r="N141" s="38">
        <f t="shared" si="2"/>
        <v>0</v>
      </c>
    </row>
    <row r="142" spans="1:14" x14ac:dyDescent="0.25">
      <c r="A142" s="1" t="s">
        <v>99</v>
      </c>
      <c r="B142" t="s">
        <v>101</v>
      </c>
      <c r="C142" s="62">
        <f>VLOOKUP(B142,合并仓明细!$D$2:$F$74,3,0)</f>
        <v>93</v>
      </c>
      <c r="D142" t="s">
        <v>393</v>
      </c>
      <c r="E142" t="s">
        <v>312</v>
      </c>
      <c r="F142" t="s">
        <v>68</v>
      </c>
      <c r="G142">
        <v>1612.6299999999999</v>
      </c>
      <c r="H142">
        <v>6.5037500000000001</v>
      </c>
      <c r="I142" s="46">
        <f>ROUNDUP(H142/30,0)*VLOOKUP(D142,'报价表-配送'!$B$2:$I$6,8,0)</f>
        <v>0</v>
      </c>
      <c r="N142" s="38">
        <f t="shared" si="2"/>
        <v>0</v>
      </c>
    </row>
    <row r="143" spans="1:14" x14ac:dyDescent="0.25">
      <c r="A143" s="1" t="s">
        <v>99</v>
      </c>
      <c r="B143" t="s">
        <v>101</v>
      </c>
      <c r="C143" s="62">
        <f>VLOOKUP(B143,合并仓明细!$D$2:$F$74,3,0)</f>
        <v>93</v>
      </c>
      <c r="D143" t="s">
        <v>393</v>
      </c>
      <c r="E143" t="s">
        <v>312</v>
      </c>
      <c r="F143" t="s">
        <v>67</v>
      </c>
      <c r="G143">
        <v>4196.76</v>
      </c>
      <c r="H143"/>
      <c r="N143" s="38">
        <f t="shared" si="2"/>
        <v>0</v>
      </c>
    </row>
    <row r="144" spans="1:14" x14ac:dyDescent="0.25">
      <c r="A144" s="1" t="s">
        <v>99</v>
      </c>
      <c r="B144" t="s">
        <v>101</v>
      </c>
      <c r="C144" s="62">
        <f>VLOOKUP(B144,合并仓明细!$D$2:$F$74,3,0)</f>
        <v>93</v>
      </c>
      <c r="D144" t="s">
        <v>393</v>
      </c>
      <c r="E144" t="s">
        <v>312</v>
      </c>
      <c r="F144" t="s">
        <v>66</v>
      </c>
      <c r="G144">
        <v>694.36</v>
      </c>
      <c r="H144"/>
      <c r="N144" s="38">
        <f t="shared" si="2"/>
        <v>0</v>
      </c>
    </row>
    <row r="145" spans="1:14" x14ac:dyDescent="0.25">
      <c r="A145" s="1" t="s">
        <v>99</v>
      </c>
      <c r="B145" t="s">
        <v>101</v>
      </c>
      <c r="C145" s="62">
        <f>VLOOKUP(B145,合并仓明细!$D$2:$F$74,3,0)</f>
        <v>93</v>
      </c>
      <c r="D145" t="s">
        <v>393</v>
      </c>
      <c r="E145" t="s">
        <v>281</v>
      </c>
      <c r="F145" t="s">
        <v>68</v>
      </c>
      <c r="G145">
        <v>166.47</v>
      </c>
      <c r="H145">
        <v>0.50949000000000011</v>
      </c>
      <c r="I145" s="46">
        <f>ROUNDUP(H145/30,0)*VLOOKUP(D145,'报价表-配送'!$B$2:$I$6,8,0)</f>
        <v>0</v>
      </c>
      <c r="N145" s="38">
        <f t="shared" si="2"/>
        <v>0</v>
      </c>
    </row>
    <row r="146" spans="1:14" x14ac:dyDescent="0.25">
      <c r="A146" s="1" t="s">
        <v>99</v>
      </c>
      <c r="B146" t="s">
        <v>101</v>
      </c>
      <c r="C146" s="62">
        <f>VLOOKUP(B146,合并仓明细!$D$2:$F$74,3,0)</f>
        <v>93</v>
      </c>
      <c r="D146" t="s">
        <v>393</v>
      </c>
      <c r="E146" t="s">
        <v>281</v>
      </c>
      <c r="F146" t="s">
        <v>66</v>
      </c>
      <c r="G146">
        <v>343.0200000000001</v>
      </c>
      <c r="H146"/>
      <c r="N146" s="38">
        <f t="shared" si="2"/>
        <v>0</v>
      </c>
    </row>
    <row r="147" spans="1:14" x14ac:dyDescent="0.25">
      <c r="A147" s="1" t="s">
        <v>99</v>
      </c>
      <c r="B147" t="s">
        <v>101</v>
      </c>
      <c r="C147" s="62">
        <f>VLOOKUP(B147,合并仓明细!$D$2:$F$74,3,0)</f>
        <v>93</v>
      </c>
      <c r="D147" t="s">
        <v>393</v>
      </c>
      <c r="E147" t="s">
        <v>338</v>
      </c>
      <c r="F147" t="s">
        <v>67</v>
      </c>
      <c r="G147">
        <v>679.18000000000006</v>
      </c>
      <c r="H147">
        <v>1.2287199999999998</v>
      </c>
      <c r="I147" s="38">
        <f>IF(H147&gt;30,QUOTIENT(H147,30)*VLOOKUP(D147,'报价表-配送'!$B$2:$I$6,8,0),0)+IF(AND(MOD(H147,30)&gt;18,MOD(H147,30)&lt;=30),1,0)*VLOOKUP(D147,'报价表-配送'!$B$2:$I$6,8,0)</f>
        <v>0</v>
      </c>
      <c r="J147" s="38">
        <f>IF(AND(MOD(H147,30)&gt;8,MOD(H147,30)&lt;=18),1*VLOOKUP(D147,'报价表-配送'!$B$2:$I$6,7,0),0)</f>
        <v>0</v>
      </c>
      <c r="K147" s="38">
        <f>IF(AND(MOD(H147,30)&lt;=8,MOD(H147,30)&gt;0),1,0)*VLOOKUP(D147,'报价表-配送'!$B$2:$I$6,6,0)</f>
        <v>0</v>
      </c>
      <c r="N147" s="38">
        <f t="shared" si="2"/>
        <v>0</v>
      </c>
    </row>
    <row r="148" spans="1:14" x14ac:dyDescent="0.25">
      <c r="A148" s="1" t="s">
        <v>99</v>
      </c>
      <c r="B148" t="s">
        <v>101</v>
      </c>
      <c r="C148" s="62">
        <f>VLOOKUP(B148,合并仓明细!$D$2:$F$74,3,0)</f>
        <v>93</v>
      </c>
      <c r="D148" t="s">
        <v>393</v>
      </c>
      <c r="E148" t="s">
        <v>338</v>
      </c>
      <c r="F148" t="s">
        <v>66</v>
      </c>
      <c r="G148">
        <v>549.53999999999985</v>
      </c>
      <c r="H148"/>
      <c r="I148" s="46"/>
      <c r="N148" s="38">
        <f t="shared" si="2"/>
        <v>0</v>
      </c>
    </row>
    <row r="149" spans="1:14" x14ac:dyDescent="0.25">
      <c r="A149" s="1" t="s">
        <v>99</v>
      </c>
      <c r="B149" t="s">
        <v>101</v>
      </c>
      <c r="C149" s="62">
        <f>VLOOKUP(B149,合并仓明细!$D$2:$F$74,3,0)</f>
        <v>93</v>
      </c>
      <c r="D149" t="s">
        <v>393</v>
      </c>
      <c r="E149" t="s">
        <v>282</v>
      </c>
      <c r="F149" t="s">
        <v>67</v>
      </c>
      <c r="G149">
        <v>2707.28</v>
      </c>
      <c r="H149">
        <v>4.6666000000000007</v>
      </c>
      <c r="I149" s="38">
        <f>IF(H149&gt;30,QUOTIENT(H149,30)*VLOOKUP(D149,'报价表-配送'!$B$2:$I$6,8,0),0)+IF(AND(MOD(H149,30)&gt;18,MOD(H149,30)&lt;=30),1,0)*VLOOKUP(D149,'报价表-配送'!$B$2:$I$6,8,0)</f>
        <v>0</v>
      </c>
      <c r="J149" s="38">
        <f>IF(AND(MOD(H149,30)&gt;8,MOD(H149,30)&lt;=18),1*VLOOKUP(D149,'报价表-配送'!$B$2:$I$6,7,0),0)</f>
        <v>0</v>
      </c>
      <c r="K149" s="38">
        <f>IF(AND(MOD(H149,30)&lt;=8,MOD(H149,30)&gt;0),1,0)*VLOOKUP(D149,'报价表-配送'!$B$2:$I$6,6,0)</f>
        <v>0</v>
      </c>
      <c r="N149" s="38">
        <f t="shared" si="2"/>
        <v>0</v>
      </c>
    </row>
    <row r="150" spans="1:14" x14ac:dyDescent="0.25">
      <c r="A150" s="1" t="s">
        <v>99</v>
      </c>
      <c r="B150" t="s">
        <v>101</v>
      </c>
      <c r="C150" s="62">
        <f>VLOOKUP(B150,合并仓明细!$D$2:$F$74,3,0)</f>
        <v>93</v>
      </c>
      <c r="D150" t="s">
        <v>393</v>
      </c>
      <c r="E150" t="s">
        <v>282</v>
      </c>
      <c r="F150" t="s">
        <v>66</v>
      </c>
      <c r="G150">
        <v>1959.3200000000004</v>
      </c>
      <c r="H150"/>
      <c r="N150" s="38">
        <f t="shared" si="2"/>
        <v>0</v>
      </c>
    </row>
    <row r="151" spans="1:14" x14ac:dyDescent="0.25">
      <c r="A151" s="1" t="s">
        <v>99</v>
      </c>
      <c r="B151" t="s">
        <v>101</v>
      </c>
      <c r="C151" s="62">
        <f>VLOOKUP(B151,合并仓明细!$D$2:$F$74,3,0)</f>
        <v>93</v>
      </c>
      <c r="D151" t="s">
        <v>393</v>
      </c>
      <c r="E151" t="s">
        <v>339</v>
      </c>
      <c r="F151" t="s">
        <v>68</v>
      </c>
      <c r="G151">
        <v>3404.0299999999997</v>
      </c>
      <c r="H151">
        <v>42.238459999999996</v>
      </c>
      <c r="I151" s="46">
        <f>ROUNDUP(H151/30,0)*VLOOKUP(D151,'报价表-配送'!$B$2:$I$6,8,0)</f>
        <v>0</v>
      </c>
      <c r="N151" s="38">
        <f t="shared" si="2"/>
        <v>0</v>
      </c>
    </row>
    <row r="152" spans="1:14" x14ac:dyDescent="0.25">
      <c r="A152" s="1" t="s">
        <v>99</v>
      </c>
      <c r="B152" t="s">
        <v>101</v>
      </c>
      <c r="C152" s="62">
        <f>VLOOKUP(B152,合并仓明细!$D$2:$F$74,3,0)</f>
        <v>93</v>
      </c>
      <c r="D152" t="s">
        <v>393</v>
      </c>
      <c r="E152" t="s">
        <v>339</v>
      </c>
      <c r="F152" t="s">
        <v>67</v>
      </c>
      <c r="G152">
        <v>36806.629999999997</v>
      </c>
      <c r="H152"/>
      <c r="N152" s="38">
        <f t="shared" si="2"/>
        <v>0</v>
      </c>
    </row>
    <row r="153" spans="1:14" x14ac:dyDescent="0.25">
      <c r="A153" s="1" t="s">
        <v>99</v>
      </c>
      <c r="B153" t="s">
        <v>101</v>
      </c>
      <c r="C153" s="62">
        <f>VLOOKUP(B153,合并仓明细!$D$2:$F$74,3,0)</f>
        <v>93</v>
      </c>
      <c r="D153" t="s">
        <v>393</v>
      </c>
      <c r="E153" t="s">
        <v>339</v>
      </c>
      <c r="F153" t="s">
        <v>66</v>
      </c>
      <c r="G153">
        <v>2027.8000000000004</v>
      </c>
      <c r="H153"/>
      <c r="N153" s="38">
        <f t="shared" si="2"/>
        <v>0</v>
      </c>
    </row>
    <row r="154" spans="1:14" x14ac:dyDescent="0.25">
      <c r="A154" s="1" t="s">
        <v>99</v>
      </c>
      <c r="B154" t="s">
        <v>101</v>
      </c>
      <c r="C154" s="62">
        <f>VLOOKUP(B154,合并仓明细!$D$2:$F$74,3,0)</f>
        <v>93</v>
      </c>
      <c r="D154" t="s">
        <v>393</v>
      </c>
      <c r="E154" t="s">
        <v>283</v>
      </c>
      <c r="F154" t="s">
        <v>68</v>
      </c>
      <c r="G154">
        <v>1235.04</v>
      </c>
      <c r="H154">
        <v>35.466940000000001</v>
      </c>
      <c r="I154" s="46">
        <f>ROUNDUP(H154/30,0)*VLOOKUP(D154,'报价表-配送'!$B$2:$I$6,8,0)</f>
        <v>0</v>
      </c>
      <c r="N154" s="38">
        <f t="shared" si="2"/>
        <v>0</v>
      </c>
    </row>
    <row r="155" spans="1:14" x14ac:dyDescent="0.25">
      <c r="A155" s="1" t="s">
        <v>99</v>
      </c>
      <c r="B155" t="s">
        <v>101</v>
      </c>
      <c r="C155" s="62">
        <f>VLOOKUP(B155,合并仓明细!$D$2:$F$74,3,0)</f>
        <v>93</v>
      </c>
      <c r="D155" t="s">
        <v>393</v>
      </c>
      <c r="E155" t="s">
        <v>283</v>
      </c>
      <c r="F155" t="s">
        <v>67</v>
      </c>
      <c r="G155">
        <v>31304.75</v>
      </c>
      <c r="H155"/>
      <c r="N155" s="38">
        <f t="shared" si="2"/>
        <v>0</v>
      </c>
    </row>
    <row r="156" spans="1:14" x14ac:dyDescent="0.25">
      <c r="A156" s="1" t="s">
        <v>99</v>
      </c>
      <c r="B156" t="s">
        <v>101</v>
      </c>
      <c r="C156" s="62">
        <f>VLOOKUP(B156,合并仓明细!$D$2:$F$74,3,0)</f>
        <v>93</v>
      </c>
      <c r="D156" t="s">
        <v>393</v>
      </c>
      <c r="E156" t="s">
        <v>283</v>
      </c>
      <c r="F156" t="s">
        <v>66</v>
      </c>
      <c r="G156">
        <v>2927.150000000001</v>
      </c>
      <c r="H156"/>
      <c r="N156" s="38">
        <f t="shared" si="2"/>
        <v>0</v>
      </c>
    </row>
    <row r="157" spans="1:14" x14ac:dyDescent="0.25">
      <c r="A157" s="1" t="s">
        <v>99</v>
      </c>
      <c r="B157" t="s">
        <v>101</v>
      </c>
      <c r="C157" s="62">
        <f>VLOOKUP(B157,合并仓明细!$D$2:$F$74,3,0)</f>
        <v>93</v>
      </c>
      <c r="D157" t="s">
        <v>393</v>
      </c>
      <c r="E157" t="s">
        <v>323</v>
      </c>
      <c r="F157" t="s">
        <v>66</v>
      </c>
      <c r="G157">
        <v>1363.2000000000005</v>
      </c>
      <c r="H157">
        <v>1.3632000000000004</v>
      </c>
      <c r="I157" s="46"/>
      <c r="L157" s="37">
        <f>IF(H157&gt;30,QUOTIENT(H157,30)*VLOOKUP(D157,'报价表-配送'!$B$2:$I$6,8,0),0)+IF(AND(MOD(H157,30)&gt;18,MOD(H157,30)&lt;=30),1,0)*VLOOKUP(D157,'报价表-配送'!$B$2:$I$6,8,0)+IF(AND(MOD(H157,30)&gt;8,MOD(H157,30)&lt;=18),1*VLOOKUP(D157,'报价表-配送'!$B$2:$I$6,7,0),0)+IF(AND(MOD(H157,30)&lt;=8,MOD(H157,30)&gt;2.5),1,0)*VLOOKUP(D157,'报价表-配送'!$B$2:$I$6,6,0)+IF(AND(MOD(H157,30)&lt;=2.5,MOD(H157,30)&gt;=1.5),1,0)*VLOOKUP(D157,'报价表-配送'!$B$2:$I$6,5,0)</f>
        <v>0</v>
      </c>
      <c r="M157" s="39">
        <f>IF(AND(MOD(H157,30)&lt;1.5,MOD(H157,30)&gt;=0.5),H157,0)*VLOOKUP(D157,'报价表-配送'!$B$2:$I$6,4,0)*1000+IF(AND(MOD(H157,30)&lt;0.5,MOD(H157,30)&gt;=0.02),H157,0)*VLOOKUP(D157,'报价表-配送'!$B$2:$I$6,3,0)*1000+IF(AND(MOD(H157,30)&lt;0.02),H157,0)*VLOOKUP(D157,'报价表-配送'!$B$2:$I$6,2,0)*1000</f>
        <v>0</v>
      </c>
      <c r="N157" s="38">
        <f t="shared" si="2"/>
        <v>0</v>
      </c>
    </row>
    <row r="158" spans="1:14" x14ac:dyDescent="0.25">
      <c r="A158" s="1" t="s">
        <v>99</v>
      </c>
      <c r="B158" t="s">
        <v>101</v>
      </c>
      <c r="C158" s="62">
        <f>VLOOKUP(B158,合并仓明细!$D$2:$F$74,3,0)</f>
        <v>93</v>
      </c>
      <c r="D158" t="s">
        <v>393</v>
      </c>
      <c r="E158" t="s">
        <v>313</v>
      </c>
      <c r="F158" t="s">
        <v>68</v>
      </c>
      <c r="G158">
        <v>830.52</v>
      </c>
      <c r="H158">
        <v>1.25413</v>
      </c>
      <c r="I158" s="46">
        <f>ROUNDUP(H158/30,0)*VLOOKUP(D158,'报价表-配送'!$B$2:$I$6,8,0)</f>
        <v>0</v>
      </c>
      <c r="N158" s="38">
        <f t="shared" si="2"/>
        <v>0</v>
      </c>
    </row>
    <row r="159" spans="1:14" x14ac:dyDescent="0.25">
      <c r="A159" s="1" t="s">
        <v>99</v>
      </c>
      <c r="B159" t="s">
        <v>101</v>
      </c>
      <c r="C159" s="62">
        <f>VLOOKUP(B159,合并仓明细!$D$2:$F$74,3,0)</f>
        <v>93</v>
      </c>
      <c r="D159" t="s">
        <v>393</v>
      </c>
      <c r="E159" t="s">
        <v>313</v>
      </c>
      <c r="F159" t="s">
        <v>66</v>
      </c>
      <c r="G159">
        <v>423.60999999999996</v>
      </c>
      <c r="H159"/>
      <c r="N159" s="38">
        <f t="shared" si="2"/>
        <v>0</v>
      </c>
    </row>
    <row r="160" spans="1:14" x14ac:dyDescent="0.25">
      <c r="A160" s="1" t="s">
        <v>99</v>
      </c>
      <c r="B160" t="s">
        <v>101</v>
      </c>
      <c r="C160" s="62">
        <f>VLOOKUP(B160,合并仓明细!$D$2:$F$74,3,0)</f>
        <v>93</v>
      </c>
      <c r="D160" t="s">
        <v>393</v>
      </c>
      <c r="E160" t="s">
        <v>284</v>
      </c>
      <c r="F160" t="s">
        <v>68</v>
      </c>
      <c r="G160">
        <v>108.67000000000002</v>
      </c>
      <c r="H160">
        <v>4.7976900000000002</v>
      </c>
      <c r="I160" s="46">
        <f>ROUNDUP(H160/30,0)*VLOOKUP(D160,'报价表-配送'!$B$2:$I$6,8,0)</f>
        <v>0</v>
      </c>
      <c r="N160" s="38">
        <f t="shared" si="2"/>
        <v>0</v>
      </c>
    </row>
    <row r="161" spans="1:14" x14ac:dyDescent="0.25">
      <c r="A161" s="1" t="s">
        <v>99</v>
      </c>
      <c r="B161" t="s">
        <v>101</v>
      </c>
      <c r="C161" s="62">
        <f>VLOOKUP(B161,合并仓明细!$D$2:$F$74,3,0)</f>
        <v>93</v>
      </c>
      <c r="D161" t="s">
        <v>393</v>
      </c>
      <c r="E161" t="s">
        <v>284</v>
      </c>
      <c r="F161" t="s">
        <v>67</v>
      </c>
      <c r="G161">
        <v>4483.4800000000005</v>
      </c>
      <c r="H161"/>
      <c r="N161" s="38">
        <f t="shared" si="2"/>
        <v>0</v>
      </c>
    </row>
    <row r="162" spans="1:14" x14ac:dyDescent="0.25">
      <c r="A162" s="1" t="s">
        <v>99</v>
      </c>
      <c r="B162" t="s">
        <v>101</v>
      </c>
      <c r="C162" s="62">
        <f>VLOOKUP(B162,合并仓明细!$D$2:$F$74,3,0)</f>
        <v>93</v>
      </c>
      <c r="D162" t="s">
        <v>393</v>
      </c>
      <c r="E162" t="s">
        <v>284</v>
      </c>
      <c r="F162" t="s">
        <v>66</v>
      </c>
      <c r="G162">
        <v>205.53999999999994</v>
      </c>
      <c r="H162"/>
      <c r="N162" s="38">
        <f t="shared" si="2"/>
        <v>0</v>
      </c>
    </row>
    <row r="163" spans="1:14" x14ac:dyDescent="0.25">
      <c r="A163" s="1" t="s">
        <v>99</v>
      </c>
      <c r="B163" t="s">
        <v>101</v>
      </c>
      <c r="C163" s="62">
        <f>VLOOKUP(B163,合并仓明细!$D$2:$F$74,3,0)</f>
        <v>93</v>
      </c>
      <c r="D163" t="s">
        <v>393</v>
      </c>
      <c r="E163" t="s">
        <v>285</v>
      </c>
      <c r="F163" t="s">
        <v>68</v>
      </c>
      <c r="G163">
        <v>12.77</v>
      </c>
      <c r="H163">
        <v>2.8664899999999998</v>
      </c>
      <c r="I163" s="46">
        <f>ROUNDUP(H163/30,0)*VLOOKUP(D163,'报价表-配送'!$B$2:$I$6,8,0)</f>
        <v>0</v>
      </c>
      <c r="N163" s="38">
        <f t="shared" si="2"/>
        <v>0</v>
      </c>
    </row>
    <row r="164" spans="1:14" x14ac:dyDescent="0.25">
      <c r="A164" s="1" t="s">
        <v>99</v>
      </c>
      <c r="B164" t="s">
        <v>101</v>
      </c>
      <c r="C164" s="62">
        <f>VLOOKUP(B164,合并仓明细!$D$2:$F$74,3,0)</f>
        <v>93</v>
      </c>
      <c r="D164" t="s">
        <v>393</v>
      </c>
      <c r="E164" t="s">
        <v>285</v>
      </c>
      <c r="F164" t="s">
        <v>67</v>
      </c>
      <c r="G164">
        <v>2013.85</v>
      </c>
      <c r="H164"/>
      <c r="N164" s="38">
        <f t="shared" si="2"/>
        <v>0</v>
      </c>
    </row>
    <row r="165" spans="1:14" x14ac:dyDescent="0.25">
      <c r="A165" s="1" t="s">
        <v>99</v>
      </c>
      <c r="B165" t="s">
        <v>101</v>
      </c>
      <c r="C165" s="62">
        <f>VLOOKUP(B165,合并仓明细!$D$2:$F$74,3,0)</f>
        <v>93</v>
      </c>
      <c r="D165" t="s">
        <v>393</v>
      </c>
      <c r="E165" t="s">
        <v>285</v>
      </c>
      <c r="F165" t="s">
        <v>66</v>
      </c>
      <c r="G165">
        <v>839.87</v>
      </c>
      <c r="H165"/>
      <c r="I165" s="46"/>
      <c r="N165" s="38">
        <f t="shared" si="2"/>
        <v>0</v>
      </c>
    </row>
    <row r="166" spans="1:14" x14ac:dyDescent="0.25">
      <c r="A166" s="1" t="s">
        <v>99</v>
      </c>
      <c r="B166" t="s">
        <v>101</v>
      </c>
      <c r="C166" s="62">
        <f>VLOOKUP(B166,合并仓明细!$D$2:$F$74,3,0)</f>
        <v>93</v>
      </c>
      <c r="D166" t="s">
        <v>393</v>
      </c>
      <c r="E166" t="s">
        <v>329</v>
      </c>
      <c r="F166" t="s">
        <v>68</v>
      </c>
      <c r="G166">
        <v>968.5</v>
      </c>
      <c r="H166">
        <v>3.2010600000000005</v>
      </c>
      <c r="I166" s="46">
        <f>ROUNDUP(H166/30,0)*VLOOKUP(D166,'报价表-配送'!$B$2:$I$6,8,0)</f>
        <v>0</v>
      </c>
      <c r="N166" s="38">
        <f t="shared" si="2"/>
        <v>0</v>
      </c>
    </row>
    <row r="167" spans="1:14" x14ac:dyDescent="0.25">
      <c r="A167" s="1" t="s">
        <v>99</v>
      </c>
      <c r="B167" t="s">
        <v>101</v>
      </c>
      <c r="C167" s="62">
        <f>VLOOKUP(B167,合并仓明细!$D$2:$F$74,3,0)</f>
        <v>93</v>
      </c>
      <c r="D167" t="s">
        <v>393</v>
      </c>
      <c r="E167" t="s">
        <v>329</v>
      </c>
      <c r="F167" t="s">
        <v>67</v>
      </c>
      <c r="G167">
        <v>1103.43</v>
      </c>
      <c r="H167"/>
      <c r="N167" s="38">
        <f t="shared" si="2"/>
        <v>0</v>
      </c>
    </row>
    <row r="168" spans="1:14" x14ac:dyDescent="0.25">
      <c r="A168" s="1" t="s">
        <v>99</v>
      </c>
      <c r="B168" t="s">
        <v>101</v>
      </c>
      <c r="C168" s="62">
        <f>VLOOKUP(B168,合并仓明细!$D$2:$F$74,3,0)</f>
        <v>93</v>
      </c>
      <c r="D168" t="s">
        <v>393</v>
      </c>
      <c r="E168" t="s">
        <v>329</v>
      </c>
      <c r="F168" t="s">
        <v>66</v>
      </c>
      <c r="G168">
        <v>1129.1299999999999</v>
      </c>
      <c r="H168"/>
      <c r="I168" s="46"/>
      <c r="N168" s="38">
        <f t="shared" si="2"/>
        <v>0</v>
      </c>
    </row>
    <row r="169" spans="1:14" x14ac:dyDescent="0.25">
      <c r="A169" s="1" t="s">
        <v>99</v>
      </c>
      <c r="B169" t="s">
        <v>101</v>
      </c>
      <c r="C169" s="62">
        <f>VLOOKUP(B169,合并仓明细!$D$2:$F$74,3,0)</f>
        <v>93</v>
      </c>
      <c r="D169" t="s">
        <v>393</v>
      </c>
      <c r="E169" t="s">
        <v>375</v>
      </c>
      <c r="F169" t="s">
        <v>67</v>
      </c>
      <c r="G169">
        <v>37750.619999999995</v>
      </c>
      <c r="H169">
        <v>38.406279999999995</v>
      </c>
      <c r="I169" s="38">
        <f>IF(H169&gt;30,QUOTIENT(H169,30)*VLOOKUP(D169,'报价表-配送'!$B$2:$I$6,8,0),0)+IF(AND(MOD(H169,30)&gt;18,MOD(H169,30)&lt;=30),1,0)*VLOOKUP(D169,'报价表-配送'!$B$2:$I$6,8,0)</f>
        <v>0</v>
      </c>
      <c r="J169" s="38">
        <f>IF(AND(MOD(H169,30)&gt;8,MOD(H169,30)&lt;=18),1*VLOOKUP(D169,'报价表-配送'!$B$2:$I$6,7,0),0)</f>
        <v>0</v>
      </c>
      <c r="K169" s="38">
        <f>IF(AND(MOD(H169,30)&lt;=8,MOD(H169,30)&gt;0),1,0)*VLOOKUP(D169,'报价表-配送'!$B$2:$I$6,6,0)</f>
        <v>0</v>
      </c>
      <c r="N169" s="38">
        <f t="shared" si="2"/>
        <v>0</v>
      </c>
    </row>
    <row r="170" spans="1:14" x14ac:dyDescent="0.25">
      <c r="A170" s="1" t="s">
        <v>99</v>
      </c>
      <c r="B170" t="s">
        <v>101</v>
      </c>
      <c r="C170" s="62">
        <f>VLOOKUP(B170,合并仓明细!$D$2:$F$74,3,0)</f>
        <v>93</v>
      </c>
      <c r="D170" t="s">
        <v>393</v>
      </c>
      <c r="E170" t="s">
        <v>375</v>
      </c>
      <c r="F170" t="s">
        <v>66</v>
      </c>
      <c r="G170">
        <v>655.66</v>
      </c>
      <c r="H170"/>
      <c r="N170" s="38">
        <f t="shared" si="2"/>
        <v>0</v>
      </c>
    </row>
    <row r="171" spans="1:14" x14ac:dyDescent="0.25">
      <c r="A171" s="1" t="s">
        <v>99</v>
      </c>
      <c r="B171" t="s">
        <v>101</v>
      </c>
      <c r="C171" s="62">
        <f>VLOOKUP(B171,合并仓明细!$D$2:$F$74,3,0)</f>
        <v>93</v>
      </c>
      <c r="D171" t="s">
        <v>393</v>
      </c>
      <c r="E171" t="s">
        <v>388</v>
      </c>
      <c r="F171" t="s">
        <v>66</v>
      </c>
      <c r="G171">
        <v>121.08</v>
      </c>
      <c r="H171">
        <v>0.12107999999999999</v>
      </c>
      <c r="I171" s="38"/>
      <c r="J171" s="38"/>
      <c r="K171" s="38"/>
      <c r="L171" s="37">
        <f>IF(H171&gt;30,QUOTIENT(H171,30)*VLOOKUP(D171,'报价表-配送'!$B$2:$I$6,8,0),0)+IF(AND(MOD(H171,30)&gt;18,MOD(H171,30)&lt;=30),1,0)*VLOOKUP(D171,'报价表-配送'!$B$2:$I$6,8,0)+IF(AND(MOD(H171,30)&gt;8,MOD(H171,30)&lt;=18),1*VLOOKUP(D171,'报价表-配送'!$B$2:$I$6,7,0),0)+IF(AND(MOD(H171,30)&lt;=8,MOD(H171,30)&gt;2.5),1,0)*VLOOKUP(D171,'报价表-配送'!$B$2:$I$6,6,0)+IF(AND(MOD(H171,30)&lt;=2.5,MOD(H171,30)&gt;=1.5),1,0)*VLOOKUP(D171,'报价表-配送'!$B$2:$I$6,5,0)</f>
        <v>0</v>
      </c>
      <c r="M171" s="39">
        <f>IF(AND(MOD(H171,30)&lt;1.5,MOD(H171,30)&gt;=0.5),H171,0)*VLOOKUP(D171,'报价表-配送'!$B$2:$I$6,4,0)*1000+IF(AND(MOD(H171,30)&lt;0.5,MOD(H171,30)&gt;=0.02),H171,0)*VLOOKUP(D171,'报价表-配送'!$B$2:$I$6,3,0)*1000+IF(AND(MOD(H171,30)&lt;0.02),H171,0)*VLOOKUP(D171,'报价表-配送'!$B$2:$I$6,2,0)*1000</f>
        <v>0</v>
      </c>
      <c r="N171" s="38">
        <f t="shared" si="2"/>
        <v>0</v>
      </c>
    </row>
    <row r="172" spans="1:14" x14ac:dyDescent="0.25">
      <c r="A172" s="1" t="s">
        <v>99</v>
      </c>
      <c r="B172" t="s">
        <v>101</v>
      </c>
      <c r="C172" s="62">
        <f>VLOOKUP(B172,合并仓明细!$D$2:$F$74,3,0)</f>
        <v>93</v>
      </c>
      <c r="D172" t="s">
        <v>393</v>
      </c>
      <c r="E172" t="s">
        <v>378</v>
      </c>
      <c r="F172" t="s">
        <v>67</v>
      </c>
      <c r="G172">
        <v>10841.11</v>
      </c>
      <c r="H172">
        <v>10.84111</v>
      </c>
      <c r="I172" s="38">
        <f>IF(H172&gt;30,QUOTIENT(H172,30)*VLOOKUP(D172,'报价表-配送'!$B$2:$I$6,8,0),0)+IF(AND(MOD(H172,30)&gt;18,MOD(H172,30)&lt;=30),1,0)*VLOOKUP(D172,'报价表-配送'!$B$2:$I$6,8,0)</f>
        <v>0</v>
      </c>
      <c r="J172" s="38">
        <f>IF(AND(MOD(H172,30)&gt;8,MOD(H172,30)&lt;=18),1*VLOOKUP(D172,'报价表-配送'!$B$2:$I$6,7,0),0)</f>
        <v>0</v>
      </c>
      <c r="K172" s="38">
        <f>IF(AND(MOD(H172,30)&lt;=8,MOD(H172,30)&gt;0),1,0)*VLOOKUP(D172,'报价表-配送'!$B$2:$I$6,6,0)</f>
        <v>0</v>
      </c>
      <c r="N172" s="38">
        <f t="shared" si="2"/>
        <v>0</v>
      </c>
    </row>
    <row r="173" spans="1:14" x14ac:dyDescent="0.25">
      <c r="A173" s="1" t="s">
        <v>99</v>
      </c>
      <c r="B173" t="s">
        <v>101</v>
      </c>
      <c r="C173" s="62">
        <f>VLOOKUP(B173,合并仓明细!$D$2:$F$74,3,0)</f>
        <v>93</v>
      </c>
      <c r="D173" t="s">
        <v>393</v>
      </c>
      <c r="E173" t="s">
        <v>378</v>
      </c>
      <c r="F173" t="s">
        <v>66</v>
      </c>
      <c r="G173">
        <v>0</v>
      </c>
      <c r="H173"/>
      <c r="I173" s="46"/>
      <c r="N173" s="38">
        <f t="shared" si="2"/>
        <v>0</v>
      </c>
    </row>
    <row r="174" spans="1:14" x14ac:dyDescent="0.25">
      <c r="A174" s="1" t="s">
        <v>99</v>
      </c>
      <c r="B174" t="s">
        <v>101</v>
      </c>
      <c r="C174" s="62">
        <f>VLOOKUP(B174,合并仓明细!$D$2:$F$74,3,0)</f>
        <v>93</v>
      </c>
      <c r="D174" t="s">
        <v>393</v>
      </c>
      <c r="E174" t="s">
        <v>348</v>
      </c>
      <c r="F174" t="s">
        <v>67</v>
      </c>
      <c r="G174">
        <v>3.95</v>
      </c>
      <c r="H174">
        <v>3.9500000000000004E-3</v>
      </c>
      <c r="I174" s="38">
        <f>IF(H174&gt;30,QUOTIENT(H174,30)*VLOOKUP(D174,'报价表-配送'!$B$2:$I$6,8,0),0)+IF(AND(MOD(H174,30)&gt;18,MOD(H174,30)&lt;=30),1,0)*VLOOKUP(D174,'报价表-配送'!$B$2:$I$6,8,0)</f>
        <v>0</v>
      </c>
      <c r="J174" s="38">
        <f>IF(AND(MOD(H174,30)&gt;8,MOD(H174,30)&lt;=18),1*VLOOKUP(D174,'报价表-配送'!$B$2:$I$6,7,0),0)</f>
        <v>0</v>
      </c>
      <c r="K174" s="38">
        <f>IF(AND(MOD(H174,30)&lt;=8,MOD(H174,30)&gt;0),1,0)*VLOOKUP(D174,'报价表-配送'!$B$2:$I$6,6,0)</f>
        <v>0</v>
      </c>
      <c r="N174" s="38">
        <f t="shared" si="2"/>
        <v>0</v>
      </c>
    </row>
    <row r="175" spans="1:14" x14ac:dyDescent="0.25">
      <c r="A175" s="1" t="s">
        <v>99</v>
      </c>
      <c r="B175" t="s">
        <v>101</v>
      </c>
      <c r="C175" s="62">
        <f>VLOOKUP(B175,合并仓明细!$D$2:$F$74,3,0)</f>
        <v>93</v>
      </c>
      <c r="D175" t="s">
        <v>393</v>
      </c>
      <c r="E175" t="s">
        <v>286</v>
      </c>
      <c r="F175" t="s">
        <v>66</v>
      </c>
      <c r="G175">
        <v>70</v>
      </c>
      <c r="H175">
        <v>7.0000000000000007E-2</v>
      </c>
      <c r="L175" s="37">
        <f>IF(H175&gt;30,QUOTIENT(H175,30)*VLOOKUP(D175,'报价表-配送'!$B$2:$I$6,8,0),0)+IF(AND(MOD(H175,30)&gt;18,MOD(H175,30)&lt;=30),1,0)*VLOOKUP(D175,'报价表-配送'!$B$2:$I$6,8,0)+IF(AND(MOD(H175,30)&gt;8,MOD(H175,30)&lt;=18),1*VLOOKUP(D175,'报价表-配送'!$B$2:$I$6,7,0),0)+IF(AND(MOD(H175,30)&lt;=8,MOD(H175,30)&gt;2.5),1,0)*VLOOKUP(D175,'报价表-配送'!$B$2:$I$6,6,0)+IF(AND(MOD(H175,30)&lt;=2.5,MOD(H175,30)&gt;=1.5),1,0)*VLOOKUP(D175,'报价表-配送'!$B$2:$I$6,5,0)</f>
        <v>0</v>
      </c>
      <c r="M175" s="39">
        <f>IF(AND(MOD(H175,30)&lt;1.5,MOD(H175,30)&gt;=0.5),H175,0)*VLOOKUP(D175,'报价表-配送'!$B$2:$I$6,4,0)*1000+IF(AND(MOD(H175,30)&lt;0.5,MOD(H175,30)&gt;=0.02),H175,0)*VLOOKUP(D175,'报价表-配送'!$B$2:$I$6,3,0)*1000+IF(AND(MOD(H175,30)&lt;0.02),H175,0)*VLOOKUP(D175,'报价表-配送'!$B$2:$I$6,2,0)*1000</f>
        <v>0</v>
      </c>
      <c r="N175" s="38">
        <f t="shared" si="2"/>
        <v>0</v>
      </c>
    </row>
    <row r="176" spans="1:14" x14ac:dyDescent="0.25">
      <c r="A176" s="1" t="s">
        <v>99</v>
      </c>
      <c r="B176" t="s">
        <v>101</v>
      </c>
      <c r="C176" s="62">
        <f>VLOOKUP(B176,合并仓明细!$D$2:$F$74,3,0)</f>
        <v>93</v>
      </c>
      <c r="D176" t="s">
        <v>393</v>
      </c>
      <c r="E176" t="s">
        <v>287</v>
      </c>
      <c r="F176" t="s">
        <v>66</v>
      </c>
      <c r="G176">
        <v>2328.8599999999997</v>
      </c>
      <c r="H176">
        <v>2.3288599999999997</v>
      </c>
      <c r="I176" s="46"/>
      <c r="L176" s="37">
        <f>IF(H176&gt;30,QUOTIENT(H176,30)*VLOOKUP(D176,'报价表-配送'!$B$2:$I$6,8,0),0)+IF(AND(MOD(H176,30)&gt;18,MOD(H176,30)&lt;=30),1,0)*VLOOKUP(D176,'报价表-配送'!$B$2:$I$6,8,0)+IF(AND(MOD(H176,30)&gt;8,MOD(H176,30)&lt;=18),1*VLOOKUP(D176,'报价表-配送'!$B$2:$I$6,7,0),0)+IF(AND(MOD(H176,30)&lt;=8,MOD(H176,30)&gt;2.5),1,0)*VLOOKUP(D176,'报价表-配送'!$B$2:$I$6,6,0)+IF(AND(MOD(H176,30)&lt;=2.5,MOD(H176,30)&gt;=1.5),1,0)*VLOOKUP(D176,'报价表-配送'!$B$2:$I$6,5,0)</f>
        <v>0</v>
      </c>
      <c r="M176" s="39">
        <f>IF(AND(MOD(H176,30)&lt;1.5,MOD(H176,30)&gt;=0.5),H176,0)*VLOOKUP(D176,'报价表-配送'!$B$2:$I$6,4,0)*1000+IF(AND(MOD(H176,30)&lt;0.5,MOD(H176,30)&gt;=0.02),H176,0)*VLOOKUP(D176,'报价表-配送'!$B$2:$I$6,3,0)*1000+IF(AND(MOD(H176,30)&lt;0.02),H176,0)*VLOOKUP(D176,'报价表-配送'!$B$2:$I$6,2,0)*1000</f>
        <v>0</v>
      </c>
      <c r="N176" s="38">
        <f t="shared" si="2"/>
        <v>0</v>
      </c>
    </row>
    <row r="177" spans="1:14" x14ac:dyDescent="0.25">
      <c r="A177" s="1" t="s">
        <v>99</v>
      </c>
      <c r="B177" t="s">
        <v>101</v>
      </c>
      <c r="C177" s="62">
        <f>VLOOKUP(B177,合并仓明细!$D$2:$F$74,3,0)</f>
        <v>93</v>
      </c>
      <c r="D177" t="s">
        <v>393</v>
      </c>
      <c r="E177" t="s">
        <v>324</v>
      </c>
      <c r="F177" t="s">
        <v>68</v>
      </c>
      <c r="G177">
        <v>4583.3999999999996</v>
      </c>
      <c r="H177">
        <v>18.086539999999996</v>
      </c>
      <c r="I177" s="46">
        <f>ROUNDUP(H177/30,0)*VLOOKUP(D177,'报价表-配送'!$B$2:$I$6,8,0)</f>
        <v>0</v>
      </c>
      <c r="N177" s="38">
        <f t="shared" si="2"/>
        <v>0</v>
      </c>
    </row>
    <row r="178" spans="1:14" x14ac:dyDescent="0.25">
      <c r="A178" s="1" t="s">
        <v>99</v>
      </c>
      <c r="B178" t="s">
        <v>101</v>
      </c>
      <c r="C178" s="62">
        <f>VLOOKUP(B178,合并仓明细!$D$2:$F$74,3,0)</f>
        <v>93</v>
      </c>
      <c r="D178" t="s">
        <v>393</v>
      </c>
      <c r="E178" t="s">
        <v>324</v>
      </c>
      <c r="F178" t="s">
        <v>67</v>
      </c>
      <c r="G178">
        <v>12755.3</v>
      </c>
      <c r="H178"/>
      <c r="N178" s="38">
        <f t="shared" si="2"/>
        <v>0</v>
      </c>
    </row>
    <row r="179" spans="1:14" x14ac:dyDescent="0.25">
      <c r="A179" s="1" t="s">
        <v>99</v>
      </c>
      <c r="B179" t="s">
        <v>101</v>
      </c>
      <c r="C179" s="62">
        <f>VLOOKUP(B179,合并仓明细!$D$2:$F$74,3,0)</f>
        <v>93</v>
      </c>
      <c r="D179" t="s">
        <v>393</v>
      </c>
      <c r="E179" t="s">
        <v>324</v>
      </c>
      <c r="F179" t="s">
        <v>66</v>
      </c>
      <c r="G179">
        <v>747.83999999999992</v>
      </c>
      <c r="H179"/>
      <c r="L179" s="37"/>
      <c r="M179" s="39"/>
      <c r="N179" s="38">
        <f t="shared" si="2"/>
        <v>0</v>
      </c>
    </row>
    <row r="180" spans="1:14" x14ac:dyDescent="0.25">
      <c r="A180" s="1" t="s">
        <v>99</v>
      </c>
      <c r="B180" t="s">
        <v>101</v>
      </c>
      <c r="C180" s="62">
        <f>VLOOKUP(B180,合并仓明细!$D$2:$F$74,3,0)</f>
        <v>93</v>
      </c>
      <c r="D180" t="s">
        <v>393</v>
      </c>
      <c r="E180" t="s">
        <v>288</v>
      </c>
      <c r="F180" t="s">
        <v>68</v>
      </c>
      <c r="G180">
        <v>178.71</v>
      </c>
      <c r="H180">
        <v>12.189909999999998</v>
      </c>
      <c r="I180" s="46">
        <f>ROUNDUP(H180/30,0)*VLOOKUP(D180,'报价表-配送'!$B$2:$I$6,8,0)</f>
        <v>0</v>
      </c>
      <c r="N180" s="38">
        <f t="shared" si="2"/>
        <v>0</v>
      </c>
    </row>
    <row r="181" spans="1:14" x14ac:dyDescent="0.25">
      <c r="A181" s="1" t="s">
        <v>99</v>
      </c>
      <c r="B181" t="s">
        <v>101</v>
      </c>
      <c r="C181" s="62">
        <f>VLOOKUP(B181,合并仓明细!$D$2:$F$74,3,0)</f>
        <v>93</v>
      </c>
      <c r="D181" t="s">
        <v>393</v>
      </c>
      <c r="E181" t="s">
        <v>288</v>
      </c>
      <c r="F181" t="s">
        <v>67</v>
      </c>
      <c r="G181">
        <v>11172.64</v>
      </c>
      <c r="H181"/>
      <c r="N181" s="38">
        <f t="shared" si="2"/>
        <v>0</v>
      </c>
    </row>
    <row r="182" spans="1:14" x14ac:dyDescent="0.25">
      <c r="A182" s="1" t="s">
        <v>99</v>
      </c>
      <c r="B182" t="s">
        <v>101</v>
      </c>
      <c r="C182" s="62">
        <f>VLOOKUP(B182,合并仓明细!$D$2:$F$74,3,0)</f>
        <v>93</v>
      </c>
      <c r="D182" t="s">
        <v>393</v>
      </c>
      <c r="E182" t="s">
        <v>288</v>
      </c>
      <c r="F182" t="s">
        <v>66</v>
      </c>
      <c r="G182">
        <v>838.56</v>
      </c>
      <c r="H182"/>
      <c r="N182" s="38">
        <f t="shared" si="2"/>
        <v>0</v>
      </c>
    </row>
    <row r="183" spans="1:14" x14ac:dyDescent="0.25">
      <c r="A183" s="1" t="s">
        <v>99</v>
      </c>
      <c r="B183" t="s">
        <v>101</v>
      </c>
      <c r="C183" s="62">
        <f>VLOOKUP(B183,合并仓明细!$D$2:$F$74,3,0)</f>
        <v>93</v>
      </c>
      <c r="D183" t="s">
        <v>393</v>
      </c>
      <c r="E183" t="s">
        <v>372</v>
      </c>
      <c r="F183" t="s">
        <v>68</v>
      </c>
      <c r="G183">
        <v>4602.05</v>
      </c>
      <c r="H183">
        <v>5.0972100000000005</v>
      </c>
      <c r="I183" s="46">
        <f>ROUNDUP(H183/30,0)*VLOOKUP(D183,'报价表-配送'!$B$2:$I$6,8,0)</f>
        <v>0</v>
      </c>
      <c r="N183" s="38">
        <f t="shared" si="2"/>
        <v>0</v>
      </c>
    </row>
    <row r="184" spans="1:14" x14ac:dyDescent="0.25">
      <c r="A184" s="1" t="s">
        <v>99</v>
      </c>
      <c r="B184" t="s">
        <v>101</v>
      </c>
      <c r="C184" s="62">
        <f>VLOOKUP(B184,合并仓明细!$D$2:$F$74,3,0)</f>
        <v>93</v>
      </c>
      <c r="D184" t="s">
        <v>393</v>
      </c>
      <c r="E184" t="s">
        <v>372</v>
      </c>
      <c r="F184" t="s">
        <v>67</v>
      </c>
      <c r="G184">
        <v>18.809999999999999</v>
      </c>
      <c r="H184"/>
      <c r="N184" s="38">
        <f t="shared" si="2"/>
        <v>0</v>
      </c>
    </row>
    <row r="185" spans="1:14" x14ac:dyDescent="0.25">
      <c r="A185" s="1" t="s">
        <v>99</v>
      </c>
      <c r="B185" t="s">
        <v>101</v>
      </c>
      <c r="C185" s="62">
        <f>VLOOKUP(B185,合并仓明细!$D$2:$F$74,3,0)</f>
        <v>93</v>
      </c>
      <c r="D185" t="s">
        <v>393</v>
      </c>
      <c r="E185" t="s">
        <v>372</v>
      </c>
      <c r="F185" t="s">
        <v>66</v>
      </c>
      <c r="G185">
        <v>476.34999999999985</v>
      </c>
      <c r="H185"/>
      <c r="N185" s="38">
        <f t="shared" si="2"/>
        <v>0</v>
      </c>
    </row>
    <row r="186" spans="1:14" x14ac:dyDescent="0.25">
      <c r="A186" s="1" t="s">
        <v>99</v>
      </c>
      <c r="B186" t="s">
        <v>101</v>
      </c>
      <c r="C186" s="62">
        <f>VLOOKUP(B186,合并仓明细!$D$2:$F$74,3,0)</f>
        <v>93</v>
      </c>
      <c r="D186" t="s">
        <v>393</v>
      </c>
      <c r="E186" t="s">
        <v>247</v>
      </c>
      <c r="F186" t="s">
        <v>67</v>
      </c>
      <c r="G186">
        <v>244.59</v>
      </c>
      <c r="H186">
        <v>0.49297000000000002</v>
      </c>
      <c r="I186" s="38">
        <f>IF(H186&gt;30,QUOTIENT(H186,30)*VLOOKUP(D186,'报价表-配送'!$B$2:$I$6,8,0),0)+IF(AND(MOD(H186,30)&gt;18,MOD(H186,30)&lt;=30),1,0)*VLOOKUP(D186,'报价表-配送'!$B$2:$I$6,8,0)</f>
        <v>0</v>
      </c>
      <c r="J186" s="38">
        <f>IF(AND(MOD(H186,30)&gt;8,MOD(H186,30)&lt;=18),1*VLOOKUP(D186,'报价表-配送'!$B$2:$I$6,7,0),0)</f>
        <v>0</v>
      </c>
      <c r="K186" s="38">
        <f>IF(AND(MOD(H186,30)&lt;=8,MOD(H186,30)&gt;0),1,0)*VLOOKUP(D186,'报价表-配送'!$B$2:$I$6,6,0)</f>
        <v>0</v>
      </c>
      <c r="N186" s="38">
        <f t="shared" si="2"/>
        <v>0</v>
      </c>
    </row>
    <row r="187" spans="1:14" x14ac:dyDescent="0.25">
      <c r="A187" s="1" t="s">
        <v>99</v>
      </c>
      <c r="B187" t="s">
        <v>101</v>
      </c>
      <c r="C187" s="62">
        <f>VLOOKUP(B187,合并仓明细!$D$2:$F$74,3,0)</f>
        <v>93</v>
      </c>
      <c r="D187" t="s">
        <v>393</v>
      </c>
      <c r="E187" t="s">
        <v>247</v>
      </c>
      <c r="F187" t="s">
        <v>66</v>
      </c>
      <c r="G187">
        <v>248.38</v>
      </c>
      <c r="H187"/>
      <c r="N187" s="38">
        <f t="shared" si="2"/>
        <v>0</v>
      </c>
    </row>
    <row r="188" spans="1:14" x14ac:dyDescent="0.25">
      <c r="A188" s="1" t="s">
        <v>99</v>
      </c>
      <c r="B188" t="s">
        <v>101</v>
      </c>
      <c r="C188" s="62">
        <f>VLOOKUP(B188,合并仓明细!$D$2:$F$74,3,0)</f>
        <v>93</v>
      </c>
      <c r="D188" t="s">
        <v>393</v>
      </c>
      <c r="E188" t="s">
        <v>289</v>
      </c>
      <c r="F188" t="s">
        <v>67</v>
      </c>
      <c r="G188">
        <v>1071.07</v>
      </c>
      <c r="H188">
        <v>5.5273499999999993</v>
      </c>
      <c r="I188" s="38">
        <f>IF(H188&gt;30,QUOTIENT(H188,30)*VLOOKUP(D188,'报价表-配送'!$B$2:$I$6,8,0),0)+IF(AND(MOD(H188,30)&gt;18,MOD(H188,30)&lt;=30),1,0)*VLOOKUP(D188,'报价表-配送'!$B$2:$I$6,8,0)</f>
        <v>0</v>
      </c>
      <c r="J188" s="38">
        <f>IF(AND(MOD(H188,30)&gt;8,MOD(H188,30)&lt;=18),1*VLOOKUP(D188,'报价表-配送'!$B$2:$I$6,7,0),0)</f>
        <v>0</v>
      </c>
      <c r="K188" s="38">
        <f>IF(AND(MOD(H188,30)&lt;=8,MOD(H188,30)&gt;0),1,0)*VLOOKUP(D188,'报价表-配送'!$B$2:$I$6,6,0)</f>
        <v>0</v>
      </c>
      <c r="N188" s="38">
        <f t="shared" si="2"/>
        <v>0</v>
      </c>
    </row>
    <row r="189" spans="1:14" x14ac:dyDescent="0.25">
      <c r="A189" s="1" t="s">
        <v>99</v>
      </c>
      <c r="B189" t="s">
        <v>101</v>
      </c>
      <c r="C189" s="62">
        <f>VLOOKUP(B189,合并仓明细!$D$2:$F$74,3,0)</f>
        <v>93</v>
      </c>
      <c r="D189" t="s">
        <v>393</v>
      </c>
      <c r="E189" t="s">
        <v>289</v>
      </c>
      <c r="F189" t="s">
        <v>66</v>
      </c>
      <c r="G189">
        <v>4456.28</v>
      </c>
      <c r="H189"/>
      <c r="I189" s="46"/>
      <c r="N189" s="38">
        <f t="shared" si="2"/>
        <v>0</v>
      </c>
    </row>
    <row r="190" spans="1:14" x14ac:dyDescent="0.25">
      <c r="A190" s="1" t="s">
        <v>99</v>
      </c>
      <c r="B190" t="s">
        <v>101</v>
      </c>
      <c r="C190" s="62">
        <f>VLOOKUP(B190,合并仓明细!$D$2:$F$74,3,0)</f>
        <v>93</v>
      </c>
      <c r="D190" t="s">
        <v>393</v>
      </c>
      <c r="E190" t="s">
        <v>349</v>
      </c>
      <c r="F190" t="s">
        <v>67</v>
      </c>
      <c r="G190">
        <v>13888.03</v>
      </c>
      <c r="H190">
        <v>15.157710000000002</v>
      </c>
      <c r="I190" s="38">
        <f>IF(H190&gt;30,QUOTIENT(H190,30)*VLOOKUP(D190,'报价表-配送'!$B$2:$I$6,8,0),0)+IF(AND(MOD(H190,30)&gt;18,MOD(H190,30)&lt;=30),1,0)*VLOOKUP(D190,'报价表-配送'!$B$2:$I$6,8,0)</f>
        <v>0</v>
      </c>
      <c r="J190" s="38">
        <f>IF(AND(MOD(H190,30)&gt;8,MOD(H190,30)&lt;=18),1*VLOOKUP(D190,'报价表-配送'!$B$2:$I$6,7,0),0)</f>
        <v>0</v>
      </c>
      <c r="K190" s="38">
        <f>IF(AND(MOD(H190,30)&lt;=8,MOD(H190,30)&gt;0),1,0)*VLOOKUP(D190,'报价表-配送'!$B$2:$I$6,6,0)</f>
        <v>0</v>
      </c>
      <c r="N190" s="38">
        <f t="shared" si="2"/>
        <v>0</v>
      </c>
    </row>
    <row r="191" spans="1:14" x14ac:dyDescent="0.25">
      <c r="A191" s="1" t="s">
        <v>99</v>
      </c>
      <c r="B191" t="s">
        <v>101</v>
      </c>
      <c r="C191" s="62">
        <f>VLOOKUP(B191,合并仓明细!$D$2:$F$74,3,0)</f>
        <v>93</v>
      </c>
      <c r="D191" t="s">
        <v>393</v>
      </c>
      <c r="E191" t="s">
        <v>349</v>
      </c>
      <c r="F191" t="s">
        <v>66</v>
      </c>
      <c r="G191">
        <v>1269.6799999999996</v>
      </c>
      <c r="H191"/>
      <c r="N191" s="38">
        <f t="shared" si="2"/>
        <v>0</v>
      </c>
    </row>
    <row r="192" spans="1:14" x14ac:dyDescent="0.25">
      <c r="A192" s="1" t="s">
        <v>99</v>
      </c>
      <c r="B192" t="s">
        <v>101</v>
      </c>
      <c r="C192" s="62">
        <f>VLOOKUP(B192,合并仓明细!$D$2:$F$74,3,0)</f>
        <v>93</v>
      </c>
      <c r="D192" t="s">
        <v>393</v>
      </c>
      <c r="E192" t="s">
        <v>314</v>
      </c>
      <c r="F192" t="s">
        <v>66</v>
      </c>
      <c r="G192">
        <v>3299.6300000000006</v>
      </c>
      <c r="H192">
        <v>3.2996300000000005</v>
      </c>
      <c r="I192" s="46"/>
      <c r="L192" s="37">
        <f>IF(H192&gt;30,QUOTIENT(H192,30)*VLOOKUP(D192,'报价表-配送'!$B$2:$I$6,8,0),0)+IF(AND(MOD(H192,30)&gt;18,MOD(H192,30)&lt;=30),1,0)*VLOOKUP(D192,'报价表-配送'!$B$2:$I$6,8,0)+IF(AND(MOD(H192,30)&gt;8,MOD(H192,30)&lt;=18),1*VLOOKUP(D192,'报价表-配送'!$B$2:$I$6,7,0),0)+IF(AND(MOD(H192,30)&lt;=8,MOD(H192,30)&gt;2.5),1,0)*VLOOKUP(D192,'报价表-配送'!$B$2:$I$6,6,0)+IF(AND(MOD(H192,30)&lt;=2.5,MOD(H192,30)&gt;=1.5),1,0)*VLOOKUP(D192,'报价表-配送'!$B$2:$I$6,5,0)</f>
        <v>0</v>
      </c>
      <c r="M192" s="39">
        <f>IF(AND(MOD(H192,30)&lt;1.5,MOD(H192,30)&gt;=0.5),H192,0)*VLOOKUP(D192,'报价表-配送'!$B$2:$I$6,4,0)*1000+IF(AND(MOD(H192,30)&lt;0.5,MOD(H192,30)&gt;=0.02),H192,0)*VLOOKUP(D192,'报价表-配送'!$B$2:$I$6,3,0)*1000+IF(AND(MOD(H192,30)&lt;0.02),H192,0)*VLOOKUP(D192,'报价表-配送'!$B$2:$I$6,2,0)*1000</f>
        <v>0</v>
      </c>
      <c r="N192" s="38">
        <f t="shared" si="2"/>
        <v>0</v>
      </c>
    </row>
    <row r="193" spans="1:14" x14ac:dyDescent="0.25">
      <c r="A193" s="1" t="s">
        <v>99</v>
      </c>
      <c r="B193" t="s">
        <v>101</v>
      </c>
      <c r="C193" s="62">
        <f>VLOOKUP(B193,合并仓明细!$D$2:$F$74,3,0)</f>
        <v>93</v>
      </c>
      <c r="D193" t="s">
        <v>393</v>
      </c>
      <c r="E193" t="s">
        <v>315</v>
      </c>
      <c r="F193" t="s">
        <v>68</v>
      </c>
      <c r="G193">
        <v>1436.55</v>
      </c>
      <c r="H193">
        <v>2.83067</v>
      </c>
      <c r="I193" s="46">
        <f>ROUNDUP(H193/30,0)*VLOOKUP(D193,'报价表-配送'!$B$2:$I$6,8,0)</f>
        <v>0</v>
      </c>
      <c r="N193" s="38">
        <f t="shared" si="2"/>
        <v>0</v>
      </c>
    </row>
    <row r="194" spans="1:14" x14ac:dyDescent="0.25">
      <c r="A194" s="1" t="s">
        <v>99</v>
      </c>
      <c r="B194" t="s">
        <v>101</v>
      </c>
      <c r="C194" s="62">
        <f>VLOOKUP(B194,合并仓明细!$D$2:$F$74,3,0)</f>
        <v>93</v>
      </c>
      <c r="D194" t="s">
        <v>393</v>
      </c>
      <c r="E194" t="s">
        <v>315</v>
      </c>
      <c r="F194" t="s">
        <v>66</v>
      </c>
      <c r="G194">
        <v>1394.1200000000001</v>
      </c>
      <c r="H194"/>
      <c r="N194" s="38">
        <f t="shared" si="2"/>
        <v>0</v>
      </c>
    </row>
    <row r="195" spans="1:14" x14ac:dyDescent="0.25">
      <c r="A195" s="1" t="s">
        <v>99</v>
      </c>
      <c r="B195" t="s">
        <v>101</v>
      </c>
      <c r="C195" s="62">
        <f>VLOOKUP(B195,合并仓明细!$D$2:$F$74,3,0)</f>
        <v>93</v>
      </c>
      <c r="D195" t="s">
        <v>393</v>
      </c>
      <c r="E195" t="s">
        <v>290</v>
      </c>
      <c r="F195" t="s">
        <v>67</v>
      </c>
      <c r="G195">
        <v>74.150000000000006</v>
      </c>
      <c r="H195">
        <v>0.30998000000000003</v>
      </c>
      <c r="I195" s="38">
        <f>IF(H195&gt;30,QUOTIENT(H195,30)*VLOOKUP(D195,'报价表-配送'!$B$2:$I$6,8,0),0)+IF(AND(MOD(H195,30)&gt;18,MOD(H195,30)&lt;=30),1,0)*VLOOKUP(D195,'报价表-配送'!$B$2:$I$6,8,0)</f>
        <v>0</v>
      </c>
      <c r="J195" s="38">
        <f>IF(AND(MOD(H195,30)&gt;8,MOD(H195,30)&lt;=18),1*VLOOKUP(D195,'报价表-配送'!$B$2:$I$6,7,0),0)</f>
        <v>0</v>
      </c>
      <c r="K195" s="38">
        <f>IF(AND(MOD(H195,30)&lt;=8,MOD(H195,30)&gt;0),1,0)*VLOOKUP(D195,'报价表-配送'!$B$2:$I$6,6,0)</f>
        <v>0</v>
      </c>
      <c r="N195" s="38">
        <f t="shared" si="2"/>
        <v>0</v>
      </c>
    </row>
    <row r="196" spans="1:14" x14ac:dyDescent="0.25">
      <c r="A196" s="1" t="s">
        <v>99</v>
      </c>
      <c r="B196" t="s">
        <v>101</v>
      </c>
      <c r="C196" s="62">
        <f>VLOOKUP(B196,合并仓明细!$D$2:$F$74,3,0)</f>
        <v>93</v>
      </c>
      <c r="D196" t="s">
        <v>393</v>
      </c>
      <c r="E196" t="s">
        <v>290</v>
      </c>
      <c r="F196" t="s">
        <v>66</v>
      </c>
      <c r="G196">
        <v>235.83</v>
      </c>
      <c r="H196"/>
      <c r="N196" s="38">
        <f t="shared" si="2"/>
        <v>0</v>
      </c>
    </row>
    <row r="197" spans="1:14" x14ac:dyDescent="0.25">
      <c r="A197" s="1" t="s">
        <v>99</v>
      </c>
      <c r="B197" t="s">
        <v>101</v>
      </c>
      <c r="C197" s="62">
        <f>VLOOKUP(B197,合并仓明细!$D$2:$F$74,3,0)</f>
        <v>93</v>
      </c>
      <c r="D197" t="s">
        <v>393</v>
      </c>
      <c r="E197" t="s">
        <v>340</v>
      </c>
      <c r="F197" t="s">
        <v>67</v>
      </c>
      <c r="G197">
        <v>199.77</v>
      </c>
      <c r="H197">
        <v>0.27787000000000001</v>
      </c>
      <c r="I197" s="38">
        <f>IF(H197&gt;30,QUOTIENT(H197,30)*VLOOKUP(D197,'报价表-配送'!$B$2:$I$6,8,0),0)+IF(AND(MOD(H197,30)&gt;18,MOD(H197,30)&lt;=30),1,0)*VLOOKUP(D197,'报价表-配送'!$B$2:$I$6,8,0)</f>
        <v>0</v>
      </c>
      <c r="J197" s="38">
        <f>IF(AND(MOD(H197,30)&gt;8,MOD(H197,30)&lt;=18),1*VLOOKUP(D197,'报价表-配送'!$B$2:$I$6,7,0),0)</f>
        <v>0</v>
      </c>
      <c r="K197" s="38">
        <f>IF(AND(MOD(H197,30)&lt;=8,MOD(H197,30)&gt;0),1,0)*VLOOKUP(D197,'报价表-配送'!$B$2:$I$6,6,0)</f>
        <v>0</v>
      </c>
      <c r="N197" s="38">
        <f t="shared" si="2"/>
        <v>0</v>
      </c>
    </row>
    <row r="198" spans="1:14" x14ac:dyDescent="0.25">
      <c r="A198" s="1" t="s">
        <v>99</v>
      </c>
      <c r="B198" t="s">
        <v>101</v>
      </c>
      <c r="C198" s="62">
        <f>VLOOKUP(B198,合并仓明细!$D$2:$F$74,3,0)</f>
        <v>93</v>
      </c>
      <c r="D198" t="s">
        <v>393</v>
      </c>
      <c r="E198" t="s">
        <v>340</v>
      </c>
      <c r="F198" t="s">
        <v>66</v>
      </c>
      <c r="G198">
        <v>78.100000000000009</v>
      </c>
      <c r="H198"/>
      <c r="I198" s="46"/>
      <c r="N198" s="38">
        <f t="shared" si="2"/>
        <v>0</v>
      </c>
    </row>
    <row r="199" spans="1:14" x14ac:dyDescent="0.25">
      <c r="A199" s="1" t="s">
        <v>99</v>
      </c>
      <c r="B199" t="s">
        <v>101</v>
      </c>
      <c r="C199" s="62">
        <f>VLOOKUP(B199,合并仓明细!$D$2:$F$74,3,0)</f>
        <v>93</v>
      </c>
      <c r="D199" t="s">
        <v>393</v>
      </c>
      <c r="E199" t="s">
        <v>316</v>
      </c>
      <c r="F199" t="s">
        <v>66</v>
      </c>
      <c r="G199">
        <v>21.66</v>
      </c>
      <c r="H199">
        <v>2.1659999999999999E-2</v>
      </c>
      <c r="L199" s="37">
        <f>IF(H199&gt;30,QUOTIENT(H199,30)*VLOOKUP(D199,'报价表-配送'!$B$2:$I$6,8,0),0)+IF(AND(MOD(H199,30)&gt;18,MOD(H199,30)&lt;=30),1,0)*VLOOKUP(D199,'报价表-配送'!$B$2:$I$6,8,0)+IF(AND(MOD(H199,30)&gt;8,MOD(H199,30)&lt;=18),1*VLOOKUP(D199,'报价表-配送'!$B$2:$I$6,7,0),0)+IF(AND(MOD(H199,30)&lt;=8,MOD(H199,30)&gt;2.5),1,0)*VLOOKUP(D199,'报价表-配送'!$B$2:$I$6,6,0)+IF(AND(MOD(H199,30)&lt;=2.5,MOD(H199,30)&gt;=1.5),1,0)*VLOOKUP(D199,'报价表-配送'!$B$2:$I$6,5,0)</f>
        <v>0</v>
      </c>
      <c r="M199" s="39">
        <f>IF(AND(MOD(H199,30)&lt;1.5,MOD(H199,30)&gt;=0.5),H199,0)*VLOOKUP(D199,'报价表-配送'!$B$2:$I$6,4,0)*1000+IF(AND(MOD(H199,30)&lt;0.5,MOD(H199,30)&gt;=0.02),H199,0)*VLOOKUP(D199,'报价表-配送'!$B$2:$I$6,3,0)*1000+IF(AND(MOD(H199,30)&lt;0.02),H199,0)*VLOOKUP(D199,'报价表-配送'!$B$2:$I$6,2,0)*1000</f>
        <v>0</v>
      </c>
      <c r="N199" s="38">
        <f t="shared" si="2"/>
        <v>0</v>
      </c>
    </row>
    <row r="200" spans="1:14" x14ac:dyDescent="0.25">
      <c r="A200" s="1" t="s">
        <v>99</v>
      </c>
      <c r="B200" t="s">
        <v>101</v>
      </c>
      <c r="C200" s="62">
        <f>VLOOKUP(B200,合并仓明细!$D$2:$F$74,3,0)</f>
        <v>93</v>
      </c>
      <c r="D200" t="s">
        <v>393</v>
      </c>
      <c r="E200" t="s">
        <v>248</v>
      </c>
      <c r="F200" t="s">
        <v>66</v>
      </c>
      <c r="G200">
        <v>565.95000000000005</v>
      </c>
      <c r="H200">
        <v>0.56595000000000006</v>
      </c>
      <c r="L200" s="37">
        <f>IF(H200&gt;30,QUOTIENT(H200,30)*VLOOKUP(D200,'报价表-配送'!$B$2:$I$6,8,0),0)+IF(AND(MOD(H200,30)&gt;18,MOD(H200,30)&lt;=30),1,0)*VLOOKUP(D200,'报价表-配送'!$B$2:$I$6,8,0)+IF(AND(MOD(H200,30)&gt;8,MOD(H200,30)&lt;=18),1*VLOOKUP(D200,'报价表-配送'!$B$2:$I$6,7,0),0)+IF(AND(MOD(H200,30)&lt;=8,MOD(H200,30)&gt;2.5),1,0)*VLOOKUP(D200,'报价表-配送'!$B$2:$I$6,6,0)+IF(AND(MOD(H200,30)&lt;=2.5,MOD(H200,30)&gt;=1.5),1,0)*VLOOKUP(D200,'报价表-配送'!$B$2:$I$6,5,0)</f>
        <v>0</v>
      </c>
      <c r="M200" s="39">
        <f>IF(AND(MOD(H200,30)&lt;1.5,MOD(H200,30)&gt;=0.5),H200,0)*VLOOKUP(D200,'报价表-配送'!$B$2:$I$6,4,0)*1000+IF(AND(MOD(H200,30)&lt;0.5,MOD(H200,30)&gt;=0.02),H200,0)*VLOOKUP(D200,'报价表-配送'!$B$2:$I$6,3,0)*1000+IF(AND(MOD(H200,30)&lt;0.02),H200,0)*VLOOKUP(D200,'报价表-配送'!$B$2:$I$6,2,0)*1000</f>
        <v>0</v>
      </c>
      <c r="N200" s="38">
        <f t="shared" si="2"/>
        <v>0</v>
      </c>
    </row>
    <row r="201" spans="1:14" x14ac:dyDescent="0.25">
      <c r="A201" s="1" t="s">
        <v>99</v>
      </c>
      <c r="B201" t="s">
        <v>101</v>
      </c>
      <c r="C201" s="62">
        <f>VLOOKUP(B201,合并仓明细!$D$2:$F$74,3,0)</f>
        <v>93</v>
      </c>
      <c r="D201" t="s">
        <v>393</v>
      </c>
      <c r="E201" t="s">
        <v>291</v>
      </c>
      <c r="F201" t="s">
        <v>68</v>
      </c>
      <c r="G201">
        <v>87.96</v>
      </c>
      <c r="H201">
        <v>3.4608100000000004</v>
      </c>
      <c r="I201" s="46">
        <f>ROUNDUP(H201/30,0)*VLOOKUP(D201,'报价表-配送'!$B$2:$I$6,8,0)</f>
        <v>0</v>
      </c>
      <c r="J201" s="38"/>
      <c r="K201" s="38"/>
      <c r="L201" s="37"/>
      <c r="M201" s="37"/>
      <c r="N201" s="38">
        <f t="shared" si="2"/>
        <v>0</v>
      </c>
    </row>
    <row r="202" spans="1:14" x14ac:dyDescent="0.25">
      <c r="A202" s="1" t="s">
        <v>99</v>
      </c>
      <c r="B202" t="s">
        <v>101</v>
      </c>
      <c r="C202" s="62">
        <f>VLOOKUP(B202,合并仓明细!$D$2:$F$74,3,0)</f>
        <v>93</v>
      </c>
      <c r="D202" t="s">
        <v>393</v>
      </c>
      <c r="E202" t="s">
        <v>291</v>
      </c>
      <c r="F202" t="s">
        <v>67</v>
      </c>
      <c r="G202">
        <v>3099.28</v>
      </c>
      <c r="H202"/>
      <c r="N202" s="38">
        <f t="shared" si="2"/>
        <v>0</v>
      </c>
    </row>
    <row r="203" spans="1:14" x14ac:dyDescent="0.25">
      <c r="A203" s="1" t="s">
        <v>99</v>
      </c>
      <c r="B203" t="s">
        <v>101</v>
      </c>
      <c r="C203" s="62">
        <f>VLOOKUP(B203,合并仓明细!$D$2:$F$74,3,0)</f>
        <v>93</v>
      </c>
      <c r="D203" t="s">
        <v>393</v>
      </c>
      <c r="E203" t="s">
        <v>291</v>
      </c>
      <c r="F203" t="s">
        <v>66</v>
      </c>
      <c r="G203">
        <v>273.56999999999994</v>
      </c>
      <c r="H203"/>
      <c r="I203" s="46"/>
      <c r="N203" s="38">
        <f t="shared" si="2"/>
        <v>0</v>
      </c>
    </row>
    <row r="204" spans="1:14" x14ac:dyDescent="0.25">
      <c r="A204" s="1" t="s">
        <v>99</v>
      </c>
      <c r="B204" t="s">
        <v>101</v>
      </c>
      <c r="C204" s="62">
        <f>VLOOKUP(B204,合并仓明细!$D$2:$F$74,3,0)</f>
        <v>93</v>
      </c>
      <c r="D204" t="s">
        <v>393</v>
      </c>
      <c r="E204" t="s">
        <v>341</v>
      </c>
      <c r="F204" t="s">
        <v>66</v>
      </c>
      <c r="G204">
        <v>1071.0899999999999</v>
      </c>
      <c r="H204">
        <v>1.0710899999999999</v>
      </c>
      <c r="L204" s="37">
        <f>IF(H204&gt;30,QUOTIENT(H204,30)*VLOOKUP(D204,'报价表-配送'!$B$2:$I$6,8,0),0)+IF(AND(MOD(H204,30)&gt;18,MOD(H204,30)&lt;=30),1,0)*VLOOKUP(D204,'报价表-配送'!$B$2:$I$6,8,0)+IF(AND(MOD(H204,30)&gt;8,MOD(H204,30)&lt;=18),1*VLOOKUP(D204,'报价表-配送'!$B$2:$I$6,7,0),0)+IF(AND(MOD(H204,30)&lt;=8,MOD(H204,30)&gt;2.5),1,0)*VLOOKUP(D204,'报价表-配送'!$B$2:$I$6,6,0)+IF(AND(MOD(H204,30)&lt;=2.5,MOD(H204,30)&gt;=1.5),1,0)*VLOOKUP(D204,'报价表-配送'!$B$2:$I$6,5,0)</f>
        <v>0</v>
      </c>
      <c r="M204" s="39">
        <f>IF(AND(MOD(H204,30)&lt;1.5,MOD(H204,30)&gt;=0.5),H204,0)*VLOOKUP(D204,'报价表-配送'!$B$2:$I$6,4,0)*1000+IF(AND(MOD(H204,30)&lt;0.5,MOD(H204,30)&gt;=0.02),H204,0)*VLOOKUP(D204,'报价表-配送'!$B$2:$I$6,3,0)*1000+IF(AND(MOD(H204,30)&lt;0.02),H204,0)*VLOOKUP(D204,'报价表-配送'!$B$2:$I$6,2,0)*1000</f>
        <v>0</v>
      </c>
      <c r="N204" s="38">
        <f t="shared" ref="N204:N267" si="3">SUM(I204:M204)</f>
        <v>0</v>
      </c>
    </row>
    <row r="205" spans="1:14" x14ac:dyDescent="0.25">
      <c r="A205" s="1" t="s">
        <v>99</v>
      </c>
      <c r="B205" t="s">
        <v>101</v>
      </c>
      <c r="C205" s="62">
        <f>VLOOKUP(B205,合并仓明细!$D$2:$F$74,3,0)</f>
        <v>93</v>
      </c>
      <c r="D205" t="s">
        <v>393</v>
      </c>
      <c r="E205" t="s">
        <v>292</v>
      </c>
      <c r="F205" t="s">
        <v>68</v>
      </c>
      <c r="G205">
        <v>2471.9599999999996</v>
      </c>
      <c r="H205">
        <v>3.5865799999999997</v>
      </c>
      <c r="I205" s="46">
        <f>ROUNDUP(H205/30,0)*VLOOKUP(D205,'报价表-配送'!$B$2:$I$6,8,0)</f>
        <v>0</v>
      </c>
      <c r="N205" s="38">
        <f t="shared" si="3"/>
        <v>0</v>
      </c>
    </row>
    <row r="206" spans="1:14" x14ac:dyDescent="0.25">
      <c r="A206" s="1" t="s">
        <v>99</v>
      </c>
      <c r="B206" t="s">
        <v>101</v>
      </c>
      <c r="C206" s="62">
        <f>VLOOKUP(B206,合并仓明细!$D$2:$F$74,3,0)</f>
        <v>93</v>
      </c>
      <c r="D206" t="s">
        <v>393</v>
      </c>
      <c r="E206" t="s">
        <v>292</v>
      </c>
      <c r="F206" t="s">
        <v>67</v>
      </c>
      <c r="G206">
        <v>552.97</v>
      </c>
      <c r="H206"/>
      <c r="I206" s="46"/>
      <c r="N206" s="38">
        <f t="shared" si="3"/>
        <v>0</v>
      </c>
    </row>
    <row r="207" spans="1:14" x14ac:dyDescent="0.25">
      <c r="A207" s="1" t="s">
        <v>99</v>
      </c>
      <c r="B207" t="s">
        <v>101</v>
      </c>
      <c r="C207" s="62">
        <f>VLOOKUP(B207,合并仓明细!$D$2:$F$74,3,0)</f>
        <v>93</v>
      </c>
      <c r="D207" t="s">
        <v>393</v>
      </c>
      <c r="E207" t="s">
        <v>292</v>
      </c>
      <c r="F207" t="s">
        <v>66</v>
      </c>
      <c r="G207">
        <v>561.65</v>
      </c>
      <c r="H207"/>
      <c r="N207" s="38">
        <f t="shared" si="3"/>
        <v>0</v>
      </c>
    </row>
    <row r="208" spans="1:14" x14ac:dyDescent="0.25">
      <c r="A208" s="1" t="s">
        <v>99</v>
      </c>
      <c r="B208" t="s">
        <v>101</v>
      </c>
      <c r="C208" s="62">
        <f>VLOOKUP(B208,合并仓明细!$D$2:$F$74,3,0)</f>
        <v>93</v>
      </c>
      <c r="D208" t="s">
        <v>393</v>
      </c>
      <c r="E208" t="s">
        <v>359</v>
      </c>
      <c r="F208" t="s">
        <v>67</v>
      </c>
      <c r="G208">
        <v>1440.3000000000002</v>
      </c>
      <c r="H208">
        <v>3.8903900000000009</v>
      </c>
      <c r="I208" s="38">
        <f>IF(H208&gt;30,QUOTIENT(H208,30)*VLOOKUP(D208,'报价表-配送'!$B$2:$I$6,8,0),0)+IF(AND(MOD(H208,30)&gt;18,MOD(H208,30)&lt;=30),1,0)*VLOOKUP(D208,'报价表-配送'!$B$2:$I$6,8,0)</f>
        <v>0</v>
      </c>
      <c r="J208" s="38">
        <f>IF(AND(MOD(H208,30)&gt;8,MOD(H208,30)&lt;=18),1*VLOOKUP(D208,'报价表-配送'!$B$2:$I$6,7,0),0)</f>
        <v>0</v>
      </c>
      <c r="K208" s="38">
        <f>IF(AND(MOD(H208,30)&lt;=8,MOD(H208,30)&gt;0),1,0)*VLOOKUP(D208,'报价表-配送'!$B$2:$I$6,6,0)</f>
        <v>0</v>
      </c>
      <c r="N208" s="38">
        <f t="shared" si="3"/>
        <v>0</v>
      </c>
    </row>
    <row r="209" spans="1:14" x14ac:dyDescent="0.25">
      <c r="A209" s="1" t="s">
        <v>99</v>
      </c>
      <c r="B209" t="s">
        <v>101</v>
      </c>
      <c r="C209" s="62">
        <f>VLOOKUP(B209,合并仓明细!$D$2:$F$74,3,0)</f>
        <v>93</v>
      </c>
      <c r="D209" t="s">
        <v>393</v>
      </c>
      <c r="E209" t="s">
        <v>359</v>
      </c>
      <c r="F209" t="s">
        <v>66</v>
      </c>
      <c r="G209">
        <v>2450.0900000000006</v>
      </c>
      <c r="H209"/>
      <c r="L209" s="37"/>
      <c r="M209" s="39"/>
      <c r="N209" s="38">
        <f t="shared" si="3"/>
        <v>0</v>
      </c>
    </row>
    <row r="210" spans="1:14" x14ac:dyDescent="0.25">
      <c r="A210" s="1" t="s">
        <v>99</v>
      </c>
      <c r="B210" t="s">
        <v>101</v>
      </c>
      <c r="C210" s="62">
        <f>VLOOKUP(B210,合并仓明细!$D$2:$F$74,3,0)</f>
        <v>93</v>
      </c>
      <c r="D210" t="s">
        <v>393</v>
      </c>
      <c r="E210" t="s">
        <v>293</v>
      </c>
      <c r="F210" t="s">
        <v>68</v>
      </c>
      <c r="G210">
        <v>253.99</v>
      </c>
      <c r="H210">
        <v>2.5498699999999999</v>
      </c>
      <c r="I210" s="46">
        <f>ROUNDUP(H210/30,0)*VLOOKUP(D210,'报价表-配送'!$B$2:$I$6,8,0)</f>
        <v>0</v>
      </c>
      <c r="N210" s="38">
        <f t="shared" si="3"/>
        <v>0</v>
      </c>
    </row>
    <row r="211" spans="1:14" x14ac:dyDescent="0.25">
      <c r="A211" s="1" t="s">
        <v>99</v>
      </c>
      <c r="B211" t="s">
        <v>101</v>
      </c>
      <c r="C211" s="62">
        <f>VLOOKUP(B211,合并仓明细!$D$2:$F$74,3,0)</f>
        <v>93</v>
      </c>
      <c r="D211" t="s">
        <v>393</v>
      </c>
      <c r="E211" t="s">
        <v>293</v>
      </c>
      <c r="F211" t="s">
        <v>67</v>
      </c>
      <c r="G211">
        <v>2151.6799999999998</v>
      </c>
      <c r="H211"/>
      <c r="N211" s="38">
        <f t="shared" si="3"/>
        <v>0</v>
      </c>
    </row>
    <row r="212" spans="1:14" x14ac:dyDescent="0.25">
      <c r="A212" s="1" t="s">
        <v>99</v>
      </c>
      <c r="B212" t="s">
        <v>101</v>
      </c>
      <c r="C212" s="62">
        <f>VLOOKUP(B212,合并仓明细!$D$2:$F$74,3,0)</f>
        <v>93</v>
      </c>
      <c r="D212" t="s">
        <v>393</v>
      </c>
      <c r="E212" t="s">
        <v>293</v>
      </c>
      <c r="F212" t="s">
        <v>66</v>
      </c>
      <c r="G212">
        <v>144.19999999999999</v>
      </c>
      <c r="H212"/>
      <c r="N212" s="38">
        <f t="shared" si="3"/>
        <v>0</v>
      </c>
    </row>
    <row r="213" spans="1:14" x14ac:dyDescent="0.25">
      <c r="A213" s="1" t="s">
        <v>99</v>
      </c>
      <c r="B213" t="s">
        <v>101</v>
      </c>
      <c r="C213" s="62">
        <f>VLOOKUP(B213,合并仓明细!$D$2:$F$74,3,0)</f>
        <v>93</v>
      </c>
      <c r="D213" t="s">
        <v>393</v>
      </c>
      <c r="E213" t="s">
        <v>342</v>
      </c>
      <c r="F213" t="s">
        <v>67</v>
      </c>
      <c r="G213">
        <v>136.75</v>
      </c>
      <c r="H213">
        <v>0.19874</v>
      </c>
      <c r="I213" s="38">
        <f>IF(H213&gt;30,QUOTIENT(H213,30)*VLOOKUP(D213,'报价表-配送'!$B$2:$I$6,8,0),0)+IF(AND(MOD(H213,30)&gt;18,MOD(H213,30)&lt;=30),1,0)*VLOOKUP(D213,'报价表-配送'!$B$2:$I$6,8,0)</f>
        <v>0</v>
      </c>
      <c r="J213" s="38">
        <f>IF(AND(MOD(H213,30)&gt;8,MOD(H213,30)&lt;=18),1*VLOOKUP(D213,'报价表-配送'!$B$2:$I$6,7,0),0)</f>
        <v>0</v>
      </c>
      <c r="K213" s="38">
        <f>IF(AND(MOD(H213,30)&lt;=8,MOD(H213,30)&gt;0),1,0)*VLOOKUP(D213,'报价表-配送'!$B$2:$I$6,6,0)</f>
        <v>0</v>
      </c>
      <c r="N213" s="38">
        <f t="shared" si="3"/>
        <v>0</v>
      </c>
    </row>
    <row r="214" spans="1:14" x14ac:dyDescent="0.25">
      <c r="A214" s="1" t="s">
        <v>99</v>
      </c>
      <c r="B214" t="s">
        <v>101</v>
      </c>
      <c r="C214" s="62">
        <f>VLOOKUP(B214,合并仓明细!$D$2:$F$74,3,0)</f>
        <v>93</v>
      </c>
      <c r="D214" t="s">
        <v>393</v>
      </c>
      <c r="E214" t="s">
        <v>342</v>
      </c>
      <c r="F214" t="s">
        <v>66</v>
      </c>
      <c r="G214">
        <v>61.99</v>
      </c>
      <c r="H214"/>
      <c r="N214" s="38">
        <f t="shared" si="3"/>
        <v>0</v>
      </c>
    </row>
    <row r="215" spans="1:14" x14ac:dyDescent="0.25">
      <c r="A215" s="1" t="s">
        <v>99</v>
      </c>
      <c r="B215" t="s">
        <v>101</v>
      </c>
      <c r="C215" s="62">
        <f>VLOOKUP(B215,合并仓明细!$D$2:$F$74,3,0)</f>
        <v>93</v>
      </c>
      <c r="D215" t="s">
        <v>393</v>
      </c>
      <c r="E215" t="s">
        <v>358</v>
      </c>
      <c r="F215" t="s">
        <v>68</v>
      </c>
      <c r="G215">
        <v>1715.72</v>
      </c>
      <c r="H215">
        <v>17.245990000000003</v>
      </c>
      <c r="I215" s="46">
        <f>ROUNDUP(H215/30,0)*VLOOKUP(D215,'报价表-配送'!$B$2:$I$6,8,0)</f>
        <v>0</v>
      </c>
      <c r="N215" s="38">
        <f t="shared" si="3"/>
        <v>0</v>
      </c>
    </row>
    <row r="216" spans="1:14" x14ac:dyDescent="0.25">
      <c r="A216" s="1" t="s">
        <v>99</v>
      </c>
      <c r="B216" t="s">
        <v>101</v>
      </c>
      <c r="C216" s="62">
        <f>VLOOKUP(B216,合并仓明细!$D$2:$F$74,3,0)</f>
        <v>93</v>
      </c>
      <c r="D216" t="s">
        <v>393</v>
      </c>
      <c r="E216" t="s">
        <v>358</v>
      </c>
      <c r="F216" t="s">
        <v>67</v>
      </c>
      <c r="G216">
        <v>13821.470000000001</v>
      </c>
      <c r="H216"/>
      <c r="L216" s="37"/>
      <c r="M216" s="39"/>
      <c r="N216" s="38">
        <f t="shared" si="3"/>
        <v>0</v>
      </c>
    </row>
    <row r="217" spans="1:14" x14ac:dyDescent="0.25">
      <c r="A217" s="1" t="s">
        <v>99</v>
      </c>
      <c r="B217" t="s">
        <v>101</v>
      </c>
      <c r="C217" s="62">
        <f>VLOOKUP(B217,合并仓明细!$D$2:$F$74,3,0)</f>
        <v>93</v>
      </c>
      <c r="D217" t="s">
        <v>393</v>
      </c>
      <c r="E217" t="s">
        <v>358</v>
      </c>
      <c r="F217" t="s">
        <v>66</v>
      </c>
      <c r="G217">
        <v>1708.7999999999997</v>
      </c>
      <c r="H217"/>
      <c r="I217" s="38"/>
      <c r="J217" s="38"/>
      <c r="K217" s="38"/>
      <c r="L217" s="37"/>
      <c r="M217" s="37"/>
      <c r="N217" s="38">
        <f t="shared" si="3"/>
        <v>0</v>
      </c>
    </row>
    <row r="218" spans="1:14" x14ac:dyDescent="0.25">
      <c r="A218" s="1" t="s">
        <v>99</v>
      </c>
      <c r="B218" t="s">
        <v>101</v>
      </c>
      <c r="C218" s="62">
        <f>VLOOKUP(B218,合并仓明细!$D$2:$F$74,3,0)</f>
        <v>93</v>
      </c>
      <c r="D218" t="s">
        <v>393</v>
      </c>
      <c r="E218" t="s">
        <v>370</v>
      </c>
      <c r="F218" t="s">
        <v>68</v>
      </c>
      <c r="G218">
        <v>217.10999999999999</v>
      </c>
      <c r="H218">
        <v>0.45895999999999998</v>
      </c>
      <c r="I218" s="46">
        <f>ROUNDUP(H218/30,0)*VLOOKUP(D218,'报价表-配送'!$B$2:$I$6,8,0)</f>
        <v>0</v>
      </c>
      <c r="N218" s="38">
        <f t="shared" si="3"/>
        <v>0</v>
      </c>
    </row>
    <row r="219" spans="1:14" x14ac:dyDescent="0.25">
      <c r="A219" s="1" t="s">
        <v>99</v>
      </c>
      <c r="B219" t="s">
        <v>101</v>
      </c>
      <c r="C219" s="62">
        <f>VLOOKUP(B219,合并仓明细!$D$2:$F$74,3,0)</f>
        <v>93</v>
      </c>
      <c r="D219" t="s">
        <v>393</v>
      </c>
      <c r="E219" t="s">
        <v>370</v>
      </c>
      <c r="F219" t="s">
        <v>66</v>
      </c>
      <c r="G219">
        <v>241.85</v>
      </c>
      <c r="H219"/>
      <c r="I219" s="38"/>
      <c r="J219" s="38"/>
      <c r="K219" s="38"/>
      <c r="L219" s="37"/>
      <c r="M219" s="37"/>
      <c r="N219" s="38">
        <f t="shared" si="3"/>
        <v>0</v>
      </c>
    </row>
    <row r="220" spans="1:14" x14ac:dyDescent="0.25">
      <c r="A220" s="1" t="s">
        <v>99</v>
      </c>
      <c r="B220" t="s">
        <v>101</v>
      </c>
      <c r="C220" s="62">
        <f>VLOOKUP(B220,合并仓明细!$D$2:$F$74,3,0)</f>
        <v>93</v>
      </c>
      <c r="D220" t="s">
        <v>393</v>
      </c>
      <c r="E220" t="s">
        <v>295</v>
      </c>
      <c r="F220" t="s">
        <v>68</v>
      </c>
      <c r="G220">
        <v>31888.059999999998</v>
      </c>
      <c r="H220">
        <v>36.577249999999992</v>
      </c>
      <c r="I220" s="46">
        <f>ROUNDUP(H220/30,0)*VLOOKUP(D220,'报价表-配送'!$B$2:$I$6,8,0)</f>
        <v>0</v>
      </c>
      <c r="N220" s="38">
        <f t="shared" si="3"/>
        <v>0</v>
      </c>
    </row>
    <row r="221" spans="1:14" x14ac:dyDescent="0.25">
      <c r="A221" s="1" t="s">
        <v>99</v>
      </c>
      <c r="B221" t="s">
        <v>101</v>
      </c>
      <c r="C221" s="62">
        <f>VLOOKUP(B221,合并仓明细!$D$2:$F$74,3,0)</f>
        <v>93</v>
      </c>
      <c r="D221" t="s">
        <v>393</v>
      </c>
      <c r="E221" t="s">
        <v>295</v>
      </c>
      <c r="F221" t="s">
        <v>67</v>
      </c>
      <c r="G221">
        <v>1476.06</v>
      </c>
      <c r="H221"/>
      <c r="I221" s="46"/>
      <c r="N221" s="38">
        <f t="shared" si="3"/>
        <v>0</v>
      </c>
    </row>
    <row r="222" spans="1:14" x14ac:dyDescent="0.25">
      <c r="A222" s="1" t="s">
        <v>99</v>
      </c>
      <c r="B222" t="s">
        <v>101</v>
      </c>
      <c r="C222" s="62">
        <f>VLOOKUP(B222,合并仓明细!$D$2:$F$74,3,0)</f>
        <v>93</v>
      </c>
      <c r="D222" t="s">
        <v>393</v>
      </c>
      <c r="E222" t="s">
        <v>295</v>
      </c>
      <c r="F222" t="s">
        <v>66</v>
      </c>
      <c r="G222">
        <v>3213.13</v>
      </c>
      <c r="H222"/>
      <c r="N222" s="38">
        <f t="shared" si="3"/>
        <v>0</v>
      </c>
    </row>
    <row r="223" spans="1:14" x14ac:dyDescent="0.25">
      <c r="A223" s="1" t="s">
        <v>99</v>
      </c>
      <c r="B223" t="s">
        <v>101</v>
      </c>
      <c r="C223" s="62">
        <f>VLOOKUP(B223,合并仓明细!$D$2:$F$74,3,0)</f>
        <v>93</v>
      </c>
      <c r="D223" t="s">
        <v>393</v>
      </c>
      <c r="E223" t="s">
        <v>317</v>
      </c>
      <c r="F223" t="s">
        <v>66</v>
      </c>
      <c r="G223">
        <v>490.97000000000008</v>
      </c>
      <c r="H223">
        <v>0.49097000000000007</v>
      </c>
      <c r="L223" s="37">
        <f>IF(H223&gt;30,QUOTIENT(H223,30)*VLOOKUP(D223,'报价表-配送'!$B$2:$I$6,8,0),0)+IF(AND(MOD(H223,30)&gt;18,MOD(H223,30)&lt;=30),1,0)*VLOOKUP(D223,'报价表-配送'!$B$2:$I$6,8,0)+IF(AND(MOD(H223,30)&gt;8,MOD(H223,30)&lt;=18),1*VLOOKUP(D223,'报价表-配送'!$B$2:$I$6,7,0),0)+IF(AND(MOD(H223,30)&lt;=8,MOD(H223,30)&gt;2.5),1,0)*VLOOKUP(D223,'报价表-配送'!$B$2:$I$6,6,0)+IF(AND(MOD(H223,30)&lt;=2.5,MOD(H223,30)&gt;=1.5),1,0)*VLOOKUP(D223,'报价表-配送'!$B$2:$I$6,5,0)</f>
        <v>0</v>
      </c>
      <c r="M223" s="39">
        <f>IF(AND(MOD(H223,30)&lt;1.5,MOD(H223,30)&gt;=0.5),H223,0)*VLOOKUP(D223,'报价表-配送'!$B$2:$I$6,4,0)*1000+IF(AND(MOD(H223,30)&lt;0.5,MOD(H223,30)&gt;=0.02),H223,0)*VLOOKUP(D223,'报价表-配送'!$B$2:$I$6,3,0)*1000+IF(AND(MOD(H223,30)&lt;0.02),H223,0)*VLOOKUP(D223,'报价表-配送'!$B$2:$I$6,2,0)*1000</f>
        <v>0</v>
      </c>
      <c r="N223" s="38">
        <f t="shared" si="3"/>
        <v>0</v>
      </c>
    </row>
    <row r="224" spans="1:14" x14ac:dyDescent="0.25">
      <c r="A224" s="1" t="s">
        <v>99</v>
      </c>
      <c r="B224" t="s">
        <v>101</v>
      </c>
      <c r="C224" s="62">
        <f>VLOOKUP(B224,合并仓明细!$D$2:$F$74,3,0)</f>
        <v>93</v>
      </c>
      <c r="D224" t="s">
        <v>393</v>
      </c>
      <c r="E224" t="s">
        <v>296</v>
      </c>
      <c r="F224" t="s">
        <v>67</v>
      </c>
      <c r="G224">
        <v>32624.929999999997</v>
      </c>
      <c r="H224">
        <v>32.689489999999999</v>
      </c>
      <c r="I224" s="38">
        <f>IF(H224&gt;30,QUOTIENT(H224,30)*VLOOKUP(D224,'报价表-配送'!$B$2:$I$6,8,0),0)+IF(AND(MOD(H224,30)&gt;18,MOD(H224,30)&lt;=30),1,0)*VLOOKUP(D224,'报价表-配送'!$B$2:$I$6,8,0)</f>
        <v>0</v>
      </c>
      <c r="J224" s="38">
        <f>IF(AND(MOD(H224,30)&gt;8,MOD(H224,30)&lt;=18),1*VLOOKUP(D224,'报价表-配送'!$B$2:$I$6,7,0),0)</f>
        <v>0</v>
      </c>
      <c r="K224" s="38">
        <f>IF(AND(MOD(H224,30)&lt;=8,MOD(H224,30)&gt;0),1,0)*VLOOKUP(D224,'报价表-配送'!$B$2:$I$6,6,0)</f>
        <v>0</v>
      </c>
      <c r="N224" s="38">
        <f t="shared" si="3"/>
        <v>0</v>
      </c>
    </row>
    <row r="225" spans="1:14" x14ac:dyDescent="0.25">
      <c r="A225" s="1" t="s">
        <v>99</v>
      </c>
      <c r="B225" t="s">
        <v>101</v>
      </c>
      <c r="C225" s="62">
        <f>VLOOKUP(B225,合并仓明细!$D$2:$F$74,3,0)</f>
        <v>93</v>
      </c>
      <c r="D225" t="s">
        <v>393</v>
      </c>
      <c r="E225" t="s">
        <v>296</v>
      </c>
      <c r="F225" t="s">
        <v>66</v>
      </c>
      <c r="G225">
        <v>64.56</v>
      </c>
      <c r="H225"/>
      <c r="N225" s="38">
        <f t="shared" si="3"/>
        <v>0</v>
      </c>
    </row>
    <row r="226" spans="1:14" x14ac:dyDescent="0.25">
      <c r="A226" s="1" t="s">
        <v>99</v>
      </c>
      <c r="B226" t="s">
        <v>101</v>
      </c>
      <c r="C226" s="62">
        <f>VLOOKUP(B226,合并仓明细!$D$2:$F$74,3,0)</f>
        <v>93</v>
      </c>
      <c r="D226" t="s">
        <v>393</v>
      </c>
      <c r="E226" t="s">
        <v>366</v>
      </c>
      <c r="F226" t="s">
        <v>68</v>
      </c>
      <c r="G226">
        <v>4364.6299999999992</v>
      </c>
      <c r="H226">
        <v>5.8259399999999983</v>
      </c>
      <c r="I226" s="46">
        <f>ROUNDUP(H226/30,0)*VLOOKUP(D226,'报价表-配送'!$B$2:$I$6,8,0)</f>
        <v>0</v>
      </c>
      <c r="N226" s="38">
        <f t="shared" si="3"/>
        <v>0</v>
      </c>
    </row>
    <row r="227" spans="1:14" x14ac:dyDescent="0.25">
      <c r="A227" s="1" t="s">
        <v>99</v>
      </c>
      <c r="B227" t="s">
        <v>101</v>
      </c>
      <c r="C227" s="62">
        <f>VLOOKUP(B227,合并仓明细!$D$2:$F$74,3,0)</f>
        <v>93</v>
      </c>
      <c r="D227" t="s">
        <v>393</v>
      </c>
      <c r="E227" t="s">
        <v>366</v>
      </c>
      <c r="F227" t="s">
        <v>67</v>
      </c>
      <c r="G227">
        <v>1353.6399999999999</v>
      </c>
      <c r="H227"/>
      <c r="I227" s="46"/>
      <c r="N227" s="38">
        <f t="shared" si="3"/>
        <v>0</v>
      </c>
    </row>
    <row r="228" spans="1:14" x14ac:dyDescent="0.25">
      <c r="A228" s="1" t="s">
        <v>99</v>
      </c>
      <c r="B228" t="s">
        <v>101</v>
      </c>
      <c r="C228" s="62">
        <f>VLOOKUP(B228,合并仓明细!$D$2:$F$74,3,0)</f>
        <v>93</v>
      </c>
      <c r="D228" t="s">
        <v>393</v>
      </c>
      <c r="E228" t="s">
        <v>366</v>
      </c>
      <c r="F228" t="s">
        <v>66</v>
      </c>
      <c r="G228">
        <v>107.67</v>
      </c>
      <c r="H228"/>
      <c r="N228" s="38">
        <f t="shared" si="3"/>
        <v>0</v>
      </c>
    </row>
    <row r="229" spans="1:14" x14ac:dyDescent="0.25">
      <c r="A229" s="1" t="s">
        <v>99</v>
      </c>
      <c r="B229" t="s">
        <v>101</v>
      </c>
      <c r="C229" s="62">
        <f>VLOOKUP(B229,合并仓明细!$D$2:$F$74,3,0)</f>
        <v>93</v>
      </c>
      <c r="D229" t="s">
        <v>393</v>
      </c>
      <c r="E229" t="s">
        <v>353</v>
      </c>
      <c r="F229" t="s">
        <v>66</v>
      </c>
      <c r="G229">
        <v>265.49000000000007</v>
      </c>
      <c r="H229">
        <v>0.26549000000000006</v>
      </c>
      <c r="L229" s="37">
        <f>IF(H229&gt;30,QUOTIENT(H229,30)*VLOOKUP(D229,'报价表-配送'!$B$2:$I$6,8,0),0)+IF(AND(MOD(H229,30)&gt;18,MOD(H229,30)&lt;=30),1,0)*VLOOKUP(D229,'报价表-配送'!$B$2:$I$6,8,0)+IF(AND(MOD(H229,30)&gt;8,MOD(H229,30)&lt;=18),1*VLOOKUP(D229,'报价表-配送'!$B$2:$I$6,7,0),0)+IF(AND(MOD(H229,30)&lt;=8,MOD(H229,30)&gt;2.5),1,0)*VLOOKUP(D229,'报价表-配送'!$B$2:$I$6,6,0)+IF(AND(MOD(H229,30)&lt;=2.5,MOD(H229,30)&gt;=1.5),1,0)*VLOOKUP(D229,'报价表-配送'!$B$2:$I$6,5,0)</f>
        <v>0</v>
      </c>
      <c r="M229" s="39">
        <f>IF(AND(MOD(H229,30)&lt;1.5,MOD(H229,30)&gt;=0.5),H229,0)*VLOOKUP(D229,'报价表-配送'!$B$2:$I$6,4,0)*1000+IF(AND(MOD(H229,30)&lt;0.5,MOD(H229,30)&gt;=0.02),H229,0)*VLOOKUP(D229,'报价表-配送'!$B$2:$I$6,3,0)*1000+IF(AND(MOD(H229,30)&lt;0.02),H229,0)*VLOOKUP(D229,'报价表-配送'!$B$2:$I$6,2,0)*1000</f>
        <v>0</v>
      </c>
      <c r="N229" s="38">
        <f t="shared" si="3"/>
        <v>0</v>
      </c>
    </row>
    <row r="230" spans="1:14" x14ac:dyDescent="0.25">
      <c r="A230" s="1" t="s">
        <v>99</v>
      </c>
      <c r="B230" t="s">
        <v>101</v>
      </c>
      <c r="C230" s="62">
        <f>VLOOKUP(B230,合并仓明细!$D$2:$F$74,3,0)</f>
        <v>93</v>
      </c>
      <c r="D230" t="s">
        <v>393</v>
      </c>
      <c r="E230" t="s">
        <v>325</v>
      </c>
      <c r="F230" t="s">
        <v>68</v>
      </c>
      <c r="G230">
        <v>54703.900000000009</v>
      </c>
      <c r="H230">
        <v>76.822700000000012</v>
      </c>
      <c r="I230" s="46">
        <f>ROUNDUP(H230/30,0)*VLOOKUP(D230,'报价表-配送'!$B$2:$I$6,8,0)</f>
        <v>0</v>
      </c>
      <c r="N230" s="38">
        <f t="shared" si="3"/>
        <v>0</v>
      </c>
    </row>
    <row r="231" spans="1:14" x14ac:dyDescent="0.25">
      <c r="A231" s="1" t="s">
        <v>99</v>
      </c>
      <c r="B231" t="s">
        <v>101</v>
      </c>
      <c r="C231" s="62">
        <f>VLOOKUP(B231,合并仓明细!$D$2:$F$74,3,0)</f>
        <v>93</v>
      </c>
      <c r="D231" t="s">
        <v>393</v>
      </c>
      <c r="E231" t="s">
        <v>325</v>
      </c>
      <c r="F231" t="s">
        <v>67</v>
      </c>
      <c r="G231">
        <v>17884.940000000006</v>
      </c>
      <c r="H231"/>
      <c r="N231" s="38">
        <f t="shared" si="3"/>
        <v>0</v>
      </c>
    </row>
    <row r="232" spans="1:14" x14ac:dyDescent="0.25">
      <c r="A232" s="1" t="s">
        <v>99</v>
      </c>
      <c r="B232" t="s">
        <v>101</v>
      </c>
      <c r="C232" s="62">
        <f>VLOOKUP(B232,合并仓明细!$D$2:$F$74,3,0)</f>
        <v>93</v>
      </c>
      <c r="D232" t="s">
        <v>393</v>
      </c>
      <c r="E232" t="s">
        <v>325</v>
      </c>
      <c r="F232" t="s">
        <v>66</v>
      </c>
      <c r="G232">
        <v>4233.8599999999997</v>
      </c>
      <c r="H232"/>
      <c r="N232" s="38">
        <f t="shared" si="3"/>
        <v>0</v>
      </c>
    </row>
    <row r="233" spans="1:14" x14ac:dyDescent="0.25">
      <c r="A233" s="1" t="s">
        <v>99</v>
      </c>
      <c r="B233" t="s">
        <v>101</v>
      </c>
      <c r="C233" s="62">
        <f>VLOOKUP(B233,合并仓明细!$D$2:$F$74,3,0)</f>
        <v>93</v>
      </c>
      <c r="D233" t="s">
        <v>393</v>
      </c>
      <c r="E233" t="s">
        <v>297</v>
      </c>
      <c r="F233" t="s">
        <v>66</v>
      </c>
      <c r="G233">
        <v>102.83</v>
      </c>
      <c r="H233">
        <v>0.10283</v>
      </c>
      <c r="I233" s="46"/>
      <c r="L233" s="37">
        <f>IF(H233&gt;30,QUOTIENT(H233,30)*VLOOKUP(D233,'报价表-配送'!$B$2:$I$6,8,0),0)+IF(AND(MOD(H233,30)&gt;18,MOD(H233,30)&lt;=30),1,0)*VLOOKUP(D233,'报价表-配送'!$B$2:$I$6,8,0)+IF(AND(MOD(H233,30)&gt;8,MOD(H233,30)&lt;=18),1*VLOOKUP(D233,'报价表-配送'!$B$2:$I$6,7,0),0)+IF(AND(MOD(H233,30)&lt;=8,MOD(H233,30)&gt;2.5),1,0)*VLOOKUP(D233,'报价表-配送'!$B$2:$I$6,6,0)+IF(AND(MOD(H233,30)&lt;=2.5,MOD(H233,30)&gt;=1.5),1,0)*VLOOKUP(D233,'报价表-配送'!$B$2:$I$6,5,0)</f>
        <v>0</v>
      </c>
      <c r="M233" s="39">
        <f>IF(AND(MOD(H233,30)&lt;1.5,MOD(H233,30)&gt;=0.5),H233,0)*VLOOKUP(D233,'报价表-配送'!$B$2:$I$6,4,0)*1000+IF(AND(MOD(H233,30)&lt;0.5,MOD(H233,30)&gt;=0.02),H233,0)*VLOOKUP(D233,'报价表-配送'!$B$2:$I$6,3,0)*1000+IF(AND(MOD(H233,30)&lt;0.02),H233,0)*VLOOKUP(D233,'报价表-配送'!$B$2:$I$6,2,0)*1000</f>
        <v>0</v>
      </c>
      <c r="N233" s="38">
        <f t="shared" si="3"/>
        <v>0</v>
      </c>
    </row>
    <row r="234" spans="1:14" x14ac:dyDescent="0.25">
      <c r="A234" s="1" t="s">
        <v>99</v>
      </c>
      <c r="B234" t="s">
        <v>101</v>
      </c>
      <c r="C234" s="62">
        <f>VLOOKUP(B234,合并仓明细!$D$2:$F$74,3,0)</f>
        <v>93</v>
      </c>
      <c r="D234" t="s">
        <v>393</v>
      </c>
      <c r="E234" t="s">
        <v>326</v>
      </c>
      <c r="F234" t="s">
        <v>68</v>
      </c>
      <c r="G234">
        <v>13306.36</v>
      </c>
      <c r="H234">
        <v>13.445560000000002</v>
      </c>
      <c r="I234" s="46">
        <f>ROUNDUP(H234/30,0)*VLOOKUP(D234,'报价表-配送'!$B$2:$I$6,8,0)</f>
        <v>0</v>
      </c>
      <c r="N234" s="38">
        <f t="shared" si="3"/>
        <v>0</v>
      </c>
    </row>
    <row r="235" spans="1:14" x14ac:dyDescent="0.25">
      <c r="A235" s="1" t="s">
        <v>99</v>
      </c>
      <c r="B235" t="s">
        <v>101</v>
      </c>
      <c r="C235" s="62">
        <f>VLOOKUP(B235,合并仓明细!$D$2:$F$74,3,0)</f>
        <v>93</v>
      </c>
      <c r="D235" t="s">
        <v>393</v>
      </c>
      <c r="E235" t="s">
        <v>326</v>
      </c>
      <c r="F235" t="s">
        <v>66</v>
      </c>
      <c r="G235">
        <v>139.19999999999999</v>
      </c>
      <c r="H235"/>
      <c r="N235" s="38">
        <f t="shared" si="3"/>
        <v>0</v>
      </c>
    </row>
    <row r="236" spans="1:14" x14ac:dyDescent="0.25">
      <c r="A236" s="1" t="s">
        <v>99</v>
      </c>
      <c r="B236" t="s">
        <v>101</v>
      </c>
      <c r="C236" s="62">
        <f>VLOOKUP(B236,合并仓明细!$D$2:$F$74,3,0)</f>
        <v>93</v>
      </c>
      <c r="D236" t="s">
        <v>393</v>
      </c>
      <c r="E236" t="s">
        <v>298</v>
      </c>
      <c r="F236" t="s">
        <v>68</v>
      </c>
      <c r="G236">
        <v>9293.33</v>
      </c>
      <c r="H236">
        <v>10.64077</v>
      </c>
      <c r="I236" s="46">
        <f>ROUNDUP(H236/30,0)*VLOOKUP(D236,'报价表-配送'!$B$2:$I$6,8,0)</f>
        <v>0</v>
      </c>
      <c r="N236" s="38">
        <f t="shared" si="3"/>
        <v>0</v>
      </c>
    </row>
    <row r="237" spans="1:14" x14ac:dyDescent="0.25">
      <c r="A237" s="1" t="s">
        <v>99</v>
      </c>
      <c r="B237" t="s">
        <v>101</v>
      </c>
      <c r="C237" s="62">
        <f>VLOOKUP(B237,合并仓明细!$D$2:$F$74,3,0)</f>
        <v>93</v>
      </c>
      <c r="D237" t="s">
        <v>393</v>
      </c>
      <c r="E237" t="s">
        <v>298</v>
      </c>
      <c r="F237" t="s">
        <v>67</v>
      </c>
      <c r="G237">
        <v>1256.5</v>
      </c>
      <c r="H237"/>
      <c r="N237" s="38">
        <f t="shared" si="3"/>
        <v>0</v>
      </c>
    </row>
    <row r="238" spans="1:14" x14ac:dyDescent="0.25">
      <c r="A238" s="1" t="s">
        <v>99</v>
      </c>
      <c r="B238" t="s">
        <v>101</v>
      </c>
      <c r="C238" s="62">
        <f>VLOOKUP(B238,合并仓明细!$D$2:$F$74,3,0)</f>
        <v>93</v>
      </c>
      <c r="D238" t="s">
        <v>393</v>
      </c>
      <c r="E238" t="s">
        <v>298</v>
      </c>
      <c r="F238" t="s">
        <v>66</v>
      </c>
      <c r="G238">
        <v>90.94</v>
      </c>
      <c r="H238"/>
      <c r="L238" s="37"/>
      <c r="M238" s="39"/>
      <c r="N238" s="38">
        <f t="shared" si="3"/>
        <v>0</v>
      </c>
    </row>
    <row r="239" spans="1:14" x14ac:dyDescent="0.25">
      <c r="A239" s="1" t="s">
        <v>99</v>
      </c>
      <c r="B239" t="s">
        <v>101</v>
      </c>
      <c r="C239" s="62">
        <f>VLOOKUP(B239,合并仓明细!$D$2:$F$74,3,0)</f>
        <v>93</v>
      </c>
      <c r="D239" t="s">
        <v>393</v>
      </c>
      <c r="E239" t="s">
        <v>250</v>
      </c>
      <c r="F239" t="s">
        <v>66</v>
      </c>
      <c r="G239">
        <v>334.49999999999994</v>
      </c>
      <c r="H239">
        <v>0.33449999999999996</v>
      </c>
      <c r="I239" s="38"/>
      <c r="J239" s="38"/>
      <c r="K239" s="38"/>
      <c r="L239" s="37">
        <f>IF(H239&gt;30,QUOTIENT(H239,30)*VLOOKUP(D239,'报价表-配送'!$B$2:$I$6,8,0),0)+IF(AND(MOD(H239,30)&gt;18,MOD(H239,30)&lt;=30),1,0)*VLOOKUP(D239,'报价表-配送'!$B$2:$I$6,8,0)+IF(AND(MOD(H239,30)&gt;8,MOD(H239,30)&lt;=18),1*VLOOKUP(D239,'报价表-配送'!$B$2:$I$6,7,0),0)+IF(AND(MOD(H239,30)&lt;=8,MOD(H239,30)&gt;2.5),1,0)*VLOOKUP(D239,'报价表-配送'!$B$2:$I$6,6,0)+IF(AND(MOD(H239,30)&lt;=2.5,MOD(H239,30)&gt;=1.5),1,0)*VLOOKUP(D239,'报价表-配送'!$B$2:$I$6,5,0)</f>
        <v>0</v>
      </c>
      <c r="M239" s="39">
        <f>IF(AND(MOD(H239,30)&lt;1.5,MOD(H239,30)&gt;=0.5),H239,0)*VLOOKUP(D239,'报价表-配送'!$B$2:$I$6,4,0)*1000+IF(AND(MOD(H239,30)&lt;0.5,MOD(H239,30)&gt;=0.02),H239,0)*VLOOKUP(D239,'报价表-配送'!$B$2:$I$6,3,0)*1000+IF(AND(MOD(H239,30)&lt;0.02),H239,0)*VLOOKUP(D239,'报价表-配送'!$B$2:$I$6,2,0)*1000</f>
        <v>0</v>
      </c>
      <c r="N239" s="38">
        <f t="shared" si="3"/>
        <v>0</v>
      </c>
    </row>
    <row r="240" spans="1:14" x14ac:dyDescent="0.25">
      <c r="A240" s="1" t="s">
        <v>99</v>
      </c>
      <c r="B240" t="s">
        <v>101</v>
      </c>
      <c r="C240" s="62">
        <f>VLOOKUP(B240,合并仓明细!$D$2:$F$74,3,0)</f>
        <v>93</v>
      </c>
      <c r="D240" t="s">
        <v>393</v>
      </c>
      <c r="E240" t="s">
        <v>318</v>
      </c>
      <c r="F240" t="s">
        <v>68</v>
      </c>
      <c r="G240">
        <v>5121.46</v>
      </c>
      <c r="H240">
        <v>12.05067</v>
      </c>
      <c r="I240" s="46">
        <f>ROUNDUP(H240/30,0)*VLOOKUP(D240,'报价表-配送'!$B$2:$I$6,8,0)</f>
        <v>0</v>
      </c>
      <c r="N240" s="38">
        <f t="shared" si="3"/>
        <v>0</v>
      </c>
    </row>
    <row r="241" spans="1:14" x14ac:dyDescent="0.25">
      <c r="A241" s="1" t="s">
        <v>99</v>
      </c>
      <c r="B241" t="s">
        <v>101</v>
      </c>
      <c r="C241" s="62">
        <f>VLOOKUP(B241,合并仓明细!$D$2:$F$74,3,0)</f>
        <v>93</v>
      </c>
      <c r="D241" t="s">
        <v>393</v>
      </c>
      <c r="E241" t="s">
        <v>318</v>
      </c>
      <c r="F241" t="s">
        <v>67</v>
      </c>
      <c r="G241">
        <v>5709.94</v>
      </c>
      <c r="H241"/>
      <c r="I241" s="38"/>
      <c r="J241" s="38"/>
      <c r="K241" s="38"/>
      <c r="L241" s="37"/>
      <c r="M241" s="37"/>
      <c r="N241" s="38">
        <f t="shared" si="3"/>
        <v>0</v>
      </c>
    </row>
    <row r="242" spans="1:14" x14ac:dyDescent="0.25">
      <c r="A242" s="1" t="s">
        <v>99</v>
      </c>
      <c r="B242" t="s">
        <v>101</v>
      </c>
      <c r="C242" s="62">
        <f>VLOOKUP(B242,合并仓明细!$D$2:$F$74,3,0)</f>
        <v>93</v>
      </c>
      <c r="D242" t="s">
        <v>393</v>
      </c>
      <c r="E242" t="s">
        <v>318</v>
      </c>
      <c r="F242" t="s">
        <v>66</v>
      </c>
      <c r="G242">
        <v>1219.27</v>
      </c>
      <c r="H242"/>
      <c r="N242" s="38">
        <f t="shared" si="3"/>
        <v>0</v>
      </c>
    </row>
    <row r="243" spans="1:14" x14ac:dyDescent="0.25">
      <c r="A243" s="1" t="s">
        <v>99</v>
      </c>
      <c r="B243" t="s">
        <v>101</v>
      </c>
      <c r="C243" s="62">
        <f>VLOOKUP(B243,合并仓明细!$D$2:$F$74,3,0)</f>
        <v>93</v>
      </c>
      <c r="D243" t="s">
        <v>393</v>
      </c>
      <c r="E243" t="s">
        <v>350</v>
      </c>
      <c r="F243" t="s">
        <v>67</v>
      </c>
      <c r="G243">
        <v>66.14</v>
      </c>
      <c r="H243">
        <v>0.56998999999999989</v>
      </c>
      <c r="I243" s="38">
        <f>IF(H243&gt;30,QUOTIENT(H243,30)*VLOOKUP(D243,'报价表-配送'!$B$2:$I$6,8,0),0)+IF(AND(MOD(H243,30)&gt;18,MOD(H243,30)&lt;=30),1,0)*VLOOKUP(D243,'报价表-配送'!$B$2:$I$6,8,0)</f>
        <v>0</v>
      </c>
      <c r="J243" s="38">
        <f>IF(AND(MOD(H243,30)&gt;8,MOD(H243,30)&lt;=18),1*VLOOKUP(D243,'报价表-配送'!$B$2:$I$6,7,0),0)</f>
        <v>0</v>
      </c>
      <c r="K243" s="38">
        <f>IF(AND(MOD(H243,30)&lt;=8,MOD(H243,30)&gt;0),1,0)*VLOOKUP(D243,'报价表-配送'!$B$2:$I$6,6,0)</f>
        <v>0</v>
      </c>
      <c r="M243" s="39"/>
      <c r="N243" s="38">
        <f t="shared" si="3"/>
        <v>0</v>
      </c>
    </row>
    <row r="244" spans="1:14" x14ac:dyDescent="0.25">
      <c r="A244" s="1" t="s">
        <v>99</v>
      </c>
      <c r="B244" t="s">
        <v>101</v>
      </c>
      <c r="C244" s="62">
        <f>VLOOKUP(B244,合并仓明细!$D$2:$F$74,3,0)</f>
        <v>93</v>
      </c>
      <c r="D244" t="s">
        <v>393</v>
      </c>
      <c r="E244" t="s">
        <v>350</v>
      </c>
      <c r="F244" t="s">
        <v>66</v>
      </c>
      <c r="G244">
        <v>503.84999999999991</v>
      </c>
      <c r="H244"/>
      <c r="I244" s="46"/>
      <c r="N244" s="38">
        <f t="shared" si="3"/>
        <v>0</v>
      </c>
    </row>
    <row r="245" spans="1:14" x14ac:dyDescent="0.25">
      <c r="A245" s="1" t="s">
        <v>99</v>
      </c>
      <c r="B245" t="s">
        <v>101</v>
      </c>
      <c r="C245" s="62">
        <f>VLOOKUP(B245,合并仓明细!$D$2:$F$74,3,0)</f>
        <v>93</v>
      </c>
      <c r="D245" t="s">
        <v>393</v>
      </c>
      <c r="E245" t="s">
        <v>299</v>
      </c>
      <c r="F245" t="s">
        <v>68</v>
      </c>
      <c r="G245">
        <v>1190.04</v>
      </c>
      <c r="H245">
        <v>1.35128</v>
      </c>
      <c r="I245" s="46">
        <f>ROUNDUP(H245/30,0)*VLOOKUP(D245,'报价表-配送'!$B$2:$I$6,8,0)</f>
        <v>0</v>
      </c>
      <c r="N245" s="38">
        <f t="shared" si="3"/>
        <v>0</v>
      </c>
    </row>
    <row r="246" spans="1:14" x14ac:dyDescent="0.25">
      <c r="A246" s="1" t="s">
        <v>99</v>
      </c>
      <c r="B246" t="s">
        <v>101</v>
      </c>
      <c r="C246" s="62">
        <f>VLOOKUP(B246,合并仓明细!$D$2:$F$74,3,0)</f>
        <v>93</v>
      </c>
      <c r="D246" t="s">
        <v>393</v>
      </c>
      <c r="E246" t="s">
        <v>299</v>
      </c>
      <c r="F246" t="s">
        <v>66</v>
      </c>
      <c r="G246">
        <v>161.24</v>
      </c>
      <c r="H246"/>
      <c r="L246" s="37"/>
      <c r="M246" s="39"/>
      <c r="N246" s="38">
        <f t="shared" si="3"/>
        <v>0</v>
      </c>
    </row>
    <row r="247" spans="1:14" x14ac:dyDescent="0.25">
      <c r="A247" s="1" t="s">
        <v>99</v>
      </c>
      <c r="B247" t="s">
        <v>101</v>
      </c>
      <c r="C247" s="62">
        <f>VLOOKUP(B247,合并仓明细!$D$2:$F$74,3,0)</f>
        <v>93</v>
      </c>
      <c r="D247" t="s">
        <v>393</v>
      </c>
      <c r="E247" t="s">
        <v>327</v>
      </c>
      <c r="F247" t="s">
        <v>67</v>
      </c>
      <c r="G247">
        <v>51.19</v>
      </c>
      <c r="H247">
        <v>4.71774</v>
      </c>
      <c r="I247" s="38">
        <f>IF(H247&gt;30,QUOTIENT(H247,30)*VLOOKUP(D247,'报价表-配送'!$B$2:$I$6,8,0),0)+IF(AND(MOD(H247,30)&gt;18,MOD(H247,30)&lt;=30),1,0)*VLOOKUP(D247,'报价表-配送'!$B$2:$I$6,8,0)</f>
        <v>0</v>
      </c>
      <c r="J247" s="38">
        <f>IF(AND(MOD(H247,30)&gt;8,MOD(H247,30)&lt;=18),1*VLOOKUP(D247,'报价表-配送'!$B$2:$I$6,7,0),0)</f>
        <v>0</v>
      </c>
      <c r="K247" s="38">
        <f>IF(AND(MOD(H247,30)&lt;=8,MOD(H247,30)&gt;0),1,0)*VLOOKUP(D247,'报价表-配送'!$B$2:$I$6,6,0)</f>
        <v>0</v>
      </c>
      <c r="N247" s="38">
        <f t="shared" si="3"/>
        <v>0</v>
      </c>
    </row>
    <row r="248" spans="1:14" x14ac:dyDescent="0.25">
      <c r="A248" s="1" t="s">
        <v>99</v>
      </c>
      <c r="B248" t="s">
        <v>101</v>
      </c>
      <c r="C248" s="62">
        <f>VLOOKUP(B248,合并仓明细!$D$2:$F$74,3,0)</f>
        <v>93</v>
      </c>
      <c r="D248" t="s">
        <v>393</v>
      </c>
      <c r="E248" t="s">
        <v>327</v>
      </c>
      <c r="F248" t="s">
        <v>66</v>
      </c>
      <c r="G248">
        <v>4666.55</v>
      </c>
      <c r="H248"/>
      <c r="N248" s="38">
        <f t="shared" si="3"/>
        <v>0</v>
      </c>
    </row>
    <row r="249" spans="1:14" x14ac:dyDescent="0.25">
      <c r="A249" s="1" t="s">
        <v>99</v>
      </c>
      <c r="B249" t="s">
        <v>101</v>
      </c>
      <c r="C249" s="62">
        <f>VLOOKUP(B249,合并仓明细!$D$2:$F$74,3,0)</f>
        <v>93</v>
      </c>
      <c r="D249" t="s">
        <v>393</v>
      </c>
      <c r="E249" t="s">
        <v>343</v>
      </c>
      <c r="F249" t="s">
        <v>68</v>
      </c>
      <c r="G249">
        <v>10459.9</v>
      </c>
      <c r="H249">
        <v>24.895379999999996</v>
      </c>
      <c r="I249" s="46">
        <f>ROUNDUP(H249/30,0)*VLOOKUP(D249,'报价表-配送'!$B$2:$I$6,8,0)</f>
        <v>0</v>
      </c>
      <c r="N249" s="38">
        <f t="shared" si="3"/>
        <v>0</v>
      </c>
    </row>
    <row r="250" spans="1:14" x14ac:dyDescent="0.25">
      <c r="A250" s="1" t="s">
        <v>99</v>
      </c>
      <c r="B250" t="s">
        <v>101</v>
      </c>
      <c r="C250" s="62">
        <f>VLOOKUP(B250,合并仓明细!$D$2:$F$74,3,0)</f>
        <v>93</v>
      </c>
      <c r="D250" t="s">
        <v>393</v>
      </c>
      <c r="E250" t="s">
        <v>343</v>
      </c>
      <c r="F250" t="s">
        <v>67</v>
      </c>
      <c r="G250">
        <v>13276.429999999998</v>
      </c>
      <c r="H250"/>
      <c r="I250" s="46"/>
      <c r="N250" s="38">
        <f t="shared" si="3"/>
        <v>0</v>
      </c>
    </row>
    <row r="251" spans="1:14" x14ac:dyDescent="0.25">
      <c r="A251" s="1" t="s">
        <v>99</v>
      </c>
      <c r="B251" t="s">
        <v>101</v>
      </c>
      <c r="C251" s="62">
        <f>VLOOKUP(B251,合并仓明细!$D$2:$F$74,3,0)</f>
        <v>93</v>
      </c>
      <c r="D251" t="s">
        <v>393</v>
      </c>
      <c r="E251" t="s">
        <v>343</v>
      </c>
      <c r="F251" t="s">
        <v>66</v>
      </c>
      <c r="G251">
        <v>1159.0500000000004</v>
      </c>
      <c r="H251"/>
      <c r="N251" s="38">
        <f t="shared" si="3"/>
        <v>0</v>
      </c>
    </row>
    <row r="252" spans="1:14" x14ac:dyDescent="0.25">
      <c r="A252" s="1" t="s">
        <v>99</v>
      </c>
      <c r="B252" t="s">
        <v>101</v>
      </c>
      <c r="C252" s="62">
        <f>VLOOKUP(B252,合并仓明细!$D$2:$F$74,3,0)</f>
        <v>93</v>
      </c>
      <c r="D252" t="s">
        <v>393</v>
      </c>
      <c r="E252" t="s">
        <v>319</v>
      </c>
      <c r="F252" t="s">
        <v>67</v>
      </c>
      <c r="G252">
        <v>1513.44</v>
      </c>
      <c r="H252">
        <v>3.8736900000000007</v>
      </c>
      <c r="I252" s="38">
        <f>IF(H252&gt;30,QUOTIENT(H252,30)*VLOOKUP(D252,'报价表-配送'!$B$2:$I$6,8,0),0)+IF(AND(MOD(H252,30)&gt;18,MOD(H252,30)&lt;=30),1,0)*VLOOKUP(D252,'报价表-配送'!$B$2:$I$6,8,0)</f>
        <v>0</v>
      </c>
      <c r="J252" s="38">
        <f>IF(AND(MOD(H252,30)&gt;8,MOD(H252,30)&lt;=18),1*VLOOKUP(D252,'报价表-配送'!$B$2:$I$6,7,0),0)</f>
        <v>0</v>
      </c>
      <c r="K252" s="38">
        <f>IF(AND(MOD(H252,30)&lt;=8,MOD(H252,30)&gt;0),1,0)*VLOOKUP(D252,'报价表-配送'!$B$2:$I$6,6,0)</f>
        <v>0</v>
      </c>
      <c r="M252" s="39"/>
      <c r="N252" s="38">
        <f t="shared" si="3"/>
        <v>0</v>
      </c>
    </row>
    <row r="253" spans="1:14" x14ac:dyDescent="0.25">
      <c r="A253" s="1" t="s">
        <v>99</v>
      </c>
      <c r="B253" t="s">
        <v>101</v>
      </c>
      <c r="C253" s="62">
        <f>VLOOKUP(B253,合并仓明细!$D$2:$F$74,3,0)</f>
        <v>93</v>
      </c>
      <c r="D253" t="s">
        <v>393</v>
      </c>
      <c r="E253" t="s">
        <v>319</v>
      </c>
      <c r="F253" t="s">
        <v>66</v>
      </c>
      <c r="G253">
        <v>2360.2500000000009</v>
      </c>
      <c r="H253"/>
      <c r="I253" s="46"/>
      <c r="N253" s="38">
        <f t="shared" si="3"/>
        <v>0</v>
      </c>
    </row>
    <row r="254" spans="1:14" x14ac:dyDescent="0.25">
      <c r="A254" s="1" t="s">
        <v>99</v>
      </c>
      <c r="B254" t="s">
        <v>101</v>
      </c>
      <c r="C254" s="62">
        <f>VLOOKUP(B254,合并仓明细!$D$2:$F$74,3,0)</f>
        <v>93</v>
      </c>
      <c r="D254" t="s">
        <v>393</v>
      </c>
      <c r="E254" t="s">
        <v>374</v>
      </c>
      <c r="F254" t="s">
        <v>67</v>
      </c>
      <c r="G254">
        <v>7636.13</v>
      </c>
      <c r="H254">
        <v>8.3216099999999997</v>
      </c>
      <c r="I254" s="38">
        <f>IF(H254&gt;30,QUOTIENT(H254,30)*VLOOKUP(D254,'报价表-配送'!$B$2:$I$6,8,0),0)+IF(AND(MOD(H254,30)&gt;18,MOD(H254,30)&lt;=30),1,0)*VLOOKUP(D254,'报价表-配送'!$B$2:$I$6,8,0)</f>
        <v>0</v>
      </c>
      <c r="J254" s="38">
        <f>IF(AND(MOD(H254,30)&gt;8,MOD(H254,30)&lt;=18),1*VLOOKUP(D254,'报价表-配送'!$B$2:$I$6,7,0),0)</f>
        <v>0</v>
      </c>
      <c r="K254" s="38">
        <f>IF(AND(MOD(H254,30)&lt;=8,MOD(H254,30)&gt;0),1,0)*VLOOKUP(D254,'报价表-配送'!$B$2:$I$6,6,0)</f>
        <v>0</v>
      </c>
      <c r="N254" s="38">
        <f t="shared" si="3"/>
        <v>0</v>
      </c>
    </row>
    <row r="255" spans="1:14" x14ac:dyDescent="0.25">
      <c r="A255" s="1" t="s">
        <v>99</v>
      </c>
      <c r="B255" t="s">
        <v>101</v>
      </c>
      <c r="C255" s="62">
        <f>VLOOKUP(B255,合并仓明细!$D$2:$F$74,3,0)</f>
        <v>93</v>
      </c>
      <c r="D255" t="s">
        <v>393</v>
      </c>
      <c r="E255" t="s">
        <v>374</v>
      </c>
      <c r="F255" t="s">
        <v>66</v>
      </c>
      <c r="G255">
        <v>685.48</v>
      </c>
      <c r="H255"/>
      <c r="N255" s="38">
        <f t="shared" si="3"/>
        <v>0</v>
      </c>
    </row>
    <row r="256" spans="1:14" x14ac:dyDescent="0.25">
      <c r="A256" s="1" t="s">
        <v>99</v>
      </c>
      <c r="B256" t="s">
        <v>101</v>
      </c>
      <c r="C256" s="62">
        <f>VLOOKUP(B256,合并仓明细!$D$2:$F$74,3,0)</f>
        <v>93</v>
      </c>
      <c r="D256" t="s">
        <v>393</v>
      </c>
      <c r="E256" t="s">
        <v>392</v>
      </c>
      <c r="F256" t="s">
        <v>68</v>
      </c>
      <c r="G256">
        <v>1892.3899999999999</v>
      </c>
      <c r="H256">
        <v>23.349410000000006</v>
      </c>
      <c r="I256" s="46">
        <f>ROUNDUP(H256/30,0)*VLOOKUP(D256,'报价表-配送'!$B$2:$I$6,8,0)</f>
        <v>0</v>
      </c>
      <c r="N256" s="38">
        <f t="shared" si="3"/>
        <v>0</v>
      </c>
    </row>
    <row r="257" spans="1:14" x14ac:dyDescent="0.25">
      <c r="A257" s="1" t="s">
        <v>99</v>
      </c>
      <c r="B257" t="s">
        <v>101</v>
      </c>
      <c r="C257" s="62">
        <f>VLOOKUP(B257,合并仓明细!$D$2:$F$74,3,0)</f>
        <v>93</v>
      </c>
      <c r="D257" t="s">
        <v>393</v>
      </c>
      <c r="E257" t="s">
        <v>392</v>
      </c>
      <c r="F257" t="s">
        <v>67</v>
      </c>
      <c r="G257">
        <v>19646.600000000006</v>
      </c>
      <c r="H257"/>
      <c r="N257" s="38">
        <f t="shared" si="3"/>
        <v>0</v>
      </c>
    </row>
    <row r="258" spans="1:14" x14ac:dyDescent="0.25">
      <c r="A258" s="1" t="s">
        <v>99</v>
      </c>
      <c r="B258" t="s">
        <v>101</v>
      </c>
      <c r="C258" s="62">
        <f>VLOOKUP(B258,合并仓明细!$D$2:$F$74,3,0)</f>
        <v>93</v>
      </c>
      <c r="D258" t="s">
        <v>393</v>
      </c>
      <c r="E258" t="s">
        <v>392</v>
      </c>
      <c r="F258" t="s">
        <v>66</v>
      </c>
      <c r="G258">
        <v>1810.4200000000005</v>
      </c>
      <c r="H258"/>
      <c r="N258" s="38">
        <f t="shared" si="3"/>
        <v>0</v>
      </c>
    </row>
    <row r="259" spans="1:14" x14ac:dyDescent="0.25">
      <c r="A259" s="1" t="s">
        <v>99</v>
      </c>
      <c r="B259" t="s">
        <v>101</v>
      </c>
      <c r="C259" s="62">
        <f>VLOOKUP(B259,合并仓明细!$D$2:$F$74,3,0)</f>
        <v>93</v>
      </c>
      <c r="D259" t="s">
        <v>393</v>
      </c>
      <c r="E259" t="s">
        <v>360</v>
      </c>
      <c r="F259" t="s">
        <v>68</v>
      </c>
      <c r="G259">
        <v>12883.93</v>
      </c>
      <c r="H259">
        <v>13.014149999999999</v>
      </c>
      <c r="I259" s="46">
        <f>ROUNDUP(H259/30,0)*VLOOKUP(D259,'报价表-配送'!$B$2:$I$6,8,0)</f>
        <v>0</v>
      </c>
      <c r="N259" s="38">
        <f t="shared" si="3"/>
        <v>0</v>
      </c>
    </row>
    <row r="260" spans="1:14" x14ac:dyDescent="0.25">
      <c r="A260" s="1" t="s">
        <v>99</v>
      </c>
      <c r="B260" t="s">
        <v>101</v>
      </c>
      <c r="C260" s="62">
        <f>VLOOKUP(B260,合并仓明细!$D$2:$F$74,3,0)</f>
        <v>93</v>
      </c>
      <c r="D260" t="s">
        <v>393</v>
      </c>
      <c r="E260" t="s">
        <v>360</v>
      </c>
      <c r="F260" t="s">
        <v>66</v>
      </c>
      <c r="G260">
        <v>130.22</v>
      </c>
      <c r="H260"/>
      <c r="N260" s="38">
        <f t="shared" si="3"/>
        <v>0</v>
      </c>
    </row>
    <row r="261" spans="1:14" x14ac:dyDescent="0.25">
      <c r="A261" s="1" t="s">
        <v>99</v>
      </c>
      <c r="B261" t="s">
        <v>101</v>
      </c>
      <c r="C261" s="62">
        <f>VLOOKUP(B261,合并仓明细!$D$2:$F$74,3,0)</f>
        <v>93</v>
      </c>
      <c r="D261" t="s">
        <v>393</v>
      </c>
      <c r="E261" t="s">
        <v>357</v>
      </c>
      <c r="F261" t="s">
        <v>66</v>
      </c>
      <c r="G261">
        <v>63.599999999999994</v>
      </c>
      <c r="H261">
        <v>6.359999999999999E-2</v>
      </c>
      <c r="L261" s="37">
        <f>IF(H261&gt;30,QUOTIENT(H261,30)*VLOOKUP(D261,'报价表-配送'!$B$2:$I$6,8,0),0)+IF(AND(MOD(H261,30)&gt;18,MOD(H261,30)&lt;=30),1,0)*VLOOKUP(D261,'报价表-配送'!$B$2:$I$6,8,0)+IF(AND(MOD(H261,30)&gt;8,MOD(H261,30)&lt;=18),1*VLOOKUP(D261,'报价表-配送'!$B$2:$I$6,7,0),0)+IF(AND(MOD(H261,30)&lt;=8,MOD(H261,30)&gt;2.5),1,0)*VLOOKUP(D261,'报价表-配送'!$B$2:$I$6,6,0)+IF(AND(MOD(H261,30)&lt;=2.5,MOD(H261,30)&gt;=1.5),1,0)*VLOOKUP(D261,'报价表-配送'!$B$2:$I$6,5,0)</f>
        <v>0</v>
      </c>
      <c r="M261" s="39">
        <f>IF(AND(MOD(H261,30)&lt;1.5,MOD(H261,30)&gt;=0.5),H261,0)*VLOOKUP(D261,'报价表-配送'!$B$2:$I$6,4,0)*1000+IF(AND(MOD(H261,30)&lt;0.5,MOD(H261,30)&gt;=0.02),H261,0)*VLOOKUP(D261,'报价表-配送'!$B$2:$I$6,3,0)*1000+IF(AND(MOD(H261,30)&lt;0.02),H261,0)*VLOOKUP(D261,'报价表-配送'!$B$2:$I$6,2,0)*1000</f>
        <v>0</v>
      </c>
      <c r="N261" s="38">
        <f t="shared" si="3"/>
        <v>0</v>
      </c>
    </row>
    <row r="262" spans="1:14" x14ac:dyDescent="0.25">
      <c r="A262" s="1" t="s">
        <v>99</v>
      </c>
      <c r="B262" t="s">
        <v>101</v>
      </c>
      <c r="C262" s="62">
        <f>VLOOKUP(B262,合并仓明细!$D$2:$F$74,3,0)</f>
        <v>93</v>
      </c>
      <c r="D262" t="s">
        <v>393</v>
      </c>
      <c r="E262" t="s">
        <v>320</v>
      </c>
      <c r="F262" t="s">
        <v>67</v>
      </c>
      <c r="G262">
        <v>1527.24</v>
      </c>
      <c r="H262">
        <v>1.9987999999999999</v>
      </c>
      <c r="I262" s="38">
        <f>IF(H262&gt;30,QUOTIENT(H262,30)*VLOOKUP(D262,'报价表-配送'!$B$2:$I$6,8,0),0)+IF(AND(MOD(H262,30)&gt;18,MOD(H262,30)&lt;=30),1,0)*VLOOKUP(D262,'报价表-配送'!$B$2:$I$6,8,0)</f>
        <v>0</v>
      </c>
      <c r="J262" s="38">
        <f>IF(AND(MOD(H262,30)&gt;8,MOD(H262,30)&lt;=18),1*VLOOKUP(D262,'报价表-配送'!$B$2:$I$6,7,0),0)</f>
        <v>0</v>
      </c>
      <c r="K262" s="38">
        <f>IF(AND(MOD(H262,30)&lt;=8,MOD(H262,30)&gt;0),1,0)*VLOOKUP(D262,'报价表-配送'!$B$2:$I$6,6,0)</f>
        <v>0</v>
      </c>
      <c r="M262" s="37"/>
      <c r="N262" s="38">
        <f t="shared" si="3"/>
        <v>0</v>
      </c>
    </row>
    <row r="263" spans="1:14" x14ac:dyDescent="0.25">
      <c r="A263" s="1" t="s">
        <v>99</v>
      </c>
      <c r="B263" t="s">
        <v>101</v>
      </c>
      <c r="C263" s="62">
        <f>VLOOKUP(B263,合并仓明细!$D$2:$F$74,3,0)</f>
        <v>93</v>
      </c>
      <c r="D263" t="s">
        <v>393</v>
      </c>
      <c r="E263" t="s">
        <v>320</v>
      </c>
      <c r="F263" t="s">
        <v>66</v>
      </c>
      <c r="G263">
        <v>471.56</v>
      </c>
      <c r="H263"/>
      <c r="N263" s="38">
        <f t="shared" si="3"/>
        <v>0</v>
      </c>
    </row>
    <row r="264" spans="1:14" x14ac:dyDescent="0.25">
      <c r="A264" s="1" t="s">
        <v>99</v>
      </c>
      <c r="B264" t="s">
        <v>101</v>
      </c>
      <c r="C264" s="62">
        <f>VLOOKUP(B264,合并仓明细!$D$2:$F$74,3,0)</f>
        <v>93</v>
      </c>
      <c r="D264" t="s">
        <v>393</v>
      </c>
      <c r="E264" t="s">
        <v>300</v>
      </c>
      <c r="F264" t="s">
        <v>68</v>
      </c>
      <c r="G264">
        <v>1800.85</v>
      </c>
      <c r="H264">
        <v>11.23264</v>
      </c>
      <c r="I264" s="46">
        <f>ROUNDUP(H264/30,0)*VLOOKUP(D264,'报价表-配送'!$B$2:$I$6,8,0)</f>
        <v>0</v>
      </c>
      <c r="J264" s="38"/>
      <c r="K264" s="38"/>
      <c r="L264" s="37"/>
      <c r="M264" s="37"/>
      <c r="N264" s="38">
        <f t="shared" si="3"/>
        <v>0</v>
      </c>
    </row>
    <row r="265" spans="1:14" x14ac:dyDescent="0.25">
      <c r="A265" s="1" t="s">
        <v>99</v>
      </c>
      <c r="B265" t="s">
        <v>101</v>
      </c>
      <c r="C265" s="62">
        <f>VLOOKUP(B265,合并仓明细!$D$2:$F$74,3,0)</f>
        <v>93</v>
      </c>
      <c r="D265" t="s">
        <v>393</v>
      </c>
      <c r="E265" t="s">
        <v>300</v>
      </c>
      <c r="F265" t="s">
        <v>67</v>
      </c>
      <c r="G265">
        <v>6996.82</v>
      </c>
      <c r="H265"/>
      <c r="N265" s="38">
        <f t="shared" si="3"/>
        <v>0</v>
      </c>
    </row>
    <row r="266" spans="1:14" x14ac:dyDescent="0.25">
      <c r="A266" s="1" t="s">
        <v>99</v>
      </c>
      <c r="B266" t="s">
        <v>101</v>
      </c>
      <c r="C266" s="62">
        <f>VLOOKUP(B266,合并仓明细!$D$2:$F$74,3,0)</f>
        <v>93</v>
      </c>
      <c r="D266" t="s">
        <v>393</v>
      </c>
      <c r="E266" t="s">
        <v>300</v>
      </c>
      <c r="F266" t="s">
        <v>66</v>
      </c>
      <c r="G266">
        <v>2434.9700000000003</v>
      </c>
      <c r="H266"/>
      <c r="I266" s="46"/>
      <c r="N266" s="38">
        <f t="shared" si="3"/>
        <v>0</v>
      </c>
    </row>
    <row r="267" spans="1:14" x14ac:dyDescent="0.25">
      <c r="A267" s="1" t="s">
        <v>99</v>
      </c>
      <c r="B267" t="s">
        <v>101</v>
      </c>
      <c r="C267" s="62">
        <f>VLOOKUP(B267,合并仓明细!$D$2:$F$74,3,0)</f>
        <v>93</v>
      </c>
      <c r="D267" t="s">
        <v>393</v>
      </c>
      <c r="E267" t="s">
        <v>301</v>
      </c>
      <c r="F267" t="s">
        <v>68</v>
      </c>
      <c r="G267">
        <v>763.84</v>
      </c>
      <c r="H267">
        <v>9.5351499999999998</v>
      </c>
      <c r="I267" s="46">
        <f>ROUNDUP(H267/30,0)*VLOOKUP(D267,'报价表-配送'!$B$2:$I$6,8,0)</f>
        <v>0</v>
      </c>
      <c r="N267" s="38">
        <f t="shared" si="3"/>
        <v>0</v>
      </c>
    </row>
    <row r="268" spans="1:14" x14ac:dyDescent="0.25">
      <c r="A268" s="1" t="s">
        <v>99</v>
      </c>
      <c r="B268" t="s">
        <v>101</v>
      </c>
      <c r="C268" s="62">
        <f>VLOOKUP(B268,合并仓明细!$D$2:$F$74,3,0)</f>
        <v>93</v>
      </c>
      <c r="D268" t="s">
        <v>393</v>
      </c>
      <c r="E268" t="s">
        <v>301</v>
      </c>
      <c r="F268" t="s">
        <v>67</v>
      </c>
      <c r="G268">
        <v>8692.5499999999993</v>
      </c>
      <c r="H268"/>
      <c r="N268" s="38">
        <f t="shared" ref="N268:N331" si="4">SUM(I268:M268)</f>
        <v>0</v>
      </c>
    </row>
    <row r="269" spans="1:14" x14ac:dyDescent="0.25">
      <c r="A269" s="1" t="s">
        <v>99</v>
      </c>
      <c r="B269" t="s">
        <v>101</v>
      </c>
      <c r="C269" s="62">
        <f>VLOOKUP(B269,合并仓明细!$D$2:$F$74,3,0)</f>
        <v>93</v>
      </c>
      <c r="D269" t="s">
        <v>393</v>
      </c>
      <c r="E269" t="s">
        <v>301</v>
      </c>
      <c r="F269" t="s">
        <v>66</v>
      </c>
      <c r="G269">
        <v>78.759999999999991</v>
      </c>
      <c r="H269"/>
      <c r="L269" s="37"/>
      <c r="M269" s="39"/>
      <c r="N269" s="38">
        <f t="shared" si="4"/>
        <v>0</v>
      </c>
    </row>
    <row r="270" spans="1:14" x14ac:dyDescent="0.25">
      <c r="A270" s="1" t="s">
        <v>99</v>
      </c>
      <c r="B270" t="s">
        <v>101</v>
      </c>
      <c r="C270" s="62">
        <f>VLOOKUP(B270,合并仓明细!$D$2:$F$74,3,0)</f>
        <v>93</v>
      </c>
      <c r="D270" t="s">
        <v>393</v>
      </c>
      <c r="E270" t="s">
        <v>251</v>
      </c>
      <c r="F270" t="s">
        <v>68</v>
      </c>
      <c r="G270">
        <v>768.29</v>
      </c>
      <c r="H270">
        <v>1.7025599999999999</v>
      </c>
      <c r="I270" s="46">
        <f>ROUNDUP(H270/30,0)*VLOOKUP(D270,'报价表-配送'!$B$2:$I$6,8,0)</f>
        <v>0</v>
      </c>
      <c r="N270" s="38">
        <f t="shared" si="4"/>
        <v>0</v>
      </c>
    </row>
    <row r="271" spans="1:14" x14ac:dyDescent="0.25">
      <c r="A271" s="1" t="s">
        <v>99</v>
      </c>
      <c r="B271" t="s">
        <v>101</v>
      </c>
      <c r="C271" s="62">
        <f>VLOOKUP(B271,合并仓明细!$D$2:$F$74,3,0)</f>
        <v>93</v>
      </c>
      <c r="D271" t="s">
        <v>393</v>
      </c>
      <c r="E271" t="s">
        <v>251</v>
      </c>
      <c r="F271" t="s">
        <v>66</v>
      </c>
      <c r="G271">
        <v>934.27</v>
      </c>
      <c r="H271"/>
      <c r="N271" s="38">
        <f t="shared" si="4"/>
        <v>0</v>
      </c>
    </row>
    <row r="272" spans="1:14" x14ac:dyDescent="0.25">
      <c r="A272" s="1" t="s">
        <v>99</v>
      </c>
      <c r="B272" t="s">
        <v>101</v>
      </c>
      <c r="C272" s="62">
        <f>VLOOKUP(B272,合并仓明细!$D$2:$F$74,3,0)</f>
        <v>93</v>
      </c>
      <c r="D272" t="s">
        <v>393</v>
      </c>
      <c r="E272" t="s">
        <v>355</v>
      </c>
      <c r="F272" t="s">
        <v>67</v>
      </c>
      <c r="G272">
        <v>5170.03</v>
      </c>
      <c r="H272">
        <v>5.9197699999999998</v>
      </c>
      <c r="I272" s="38">
        <f>IF(H272&gt;30,QUOTIENT(H272,30)*VLOOKUP(D272,'报价表-配送'!$B$2:$I$6,8,0),0)+IF(AND(MOD(H272,30)&gt;18,MOD(H272,30)&lt;=30),1,0)*VLOOKUP(D272,'报价表-配送'!$B$2:$I$6,8,0)</f>
        <v>0</v>
      </c>
      <c r="J272" s="38">
        <f>IF(AND(MOD(H272,30)&gt;8,MOD(H272,30)&lt;=18),1*VLOOKUP(D272,'报价表-配送'!$B$2:$I$6,7,0),0)</f>
        <v>0</v>
      </c>
      <c r="K272" s="38">
        <f>IF(AND(MOD(H272,30)&lt;=8,MOD(H272,30)&gt;0),1,0)*VLOOKUP(D272,'报价表-配送'!$B$2:$I$6,6,0)</f>
        <v>0</v>
      </c>
      <c r="N272" s="38">
        <f t="shared" si="4"/>
        <v>0</v>
      </c>
    </row>
    <row r="273" spans="1:14" x14ac:dyDescent="0.25">
      <c r="A273" s="1" t="s">
        <v>99</v>
      </c>
      <c r="B273" t="s">
        <v>101</v>
      </c>
      <c r="C273" s="62">
        <f>VLOOKUP(B273,合并仓明细!$D$2:$F$74,3,0)</f>
        <v>93</v>
      </c>
      <c r="D273" t="s">
        <v>393</v>
      </c>
      <c r="E273" t="s">
        <v>355</v>
      </c>
      <c r="F273" t="s">
        <v>66</v>
      </c>
      <c r="G273">
        <v>749.74000000000012</v>
      </c>
      <c r="H273"/>
      <c r="I273" s="46"/>
      <c r="N273" s="38">
        <f t="shared" si="4"/>
        <v>0</v>
      </c>
    </row>
    <row r="274" spans="1:14" x14ac:dyDescent="0.25">
      <c r="A274" s="1" t="s">
        <v>99</v>
      </c>
      <c r="B274" t="s">
        <v>101</v>
      </c>
      <c r="C274" s="62">
        <f>VLOOKUP(B274,合并仓明细!$D$2:$F$74,3,0)</f>
        <v>93</v>
      </c>
      <c r="D274" t="s">
        <v>393</v>
      </c>
      <c r="E274" t="s">
        <v>321</v>
      </c>
      <c r="F274" t="s">
        <v>68</v>
      </c>
      <c r="G274">
        <v>24.92</v>
      </c>
      <c r="H274">
        <v>0.79300000000000004</v>
      </c>
      <c r="I274" s="46">
        <f>ROUNDUP(H274/30,0)*VLOOKUP(D274,'报价表-配送'!$B$2:$I$6,8,0)</f>
        <v>0</v>
      </c>
      <c r="N274" s="38">
        <f t="shared" si="4"/>
        <v>0</v>
      </c>
    </row>
    <row r="275" spans="1:14" x14ac:dyDescent="0.25">
      <c r="A275" s="1" t="s">
        <v>99</v>
      </c>
      <c r="B275" t="s">
        <v>101</v>
      </c>
      <c r="C275" s="62">
        <f>VLOOKUP(B275,合并仓明细!$D$2:$F$74,3,0)</f>
        <v>93</v>
      </c>
      <c r="D275" t="s">
        <v>393</v>
      </c>
      <c r="E275" t="s">
        <v>321</v>
      </c>
      <c r="F275" t="s">
        <v>67</v>
      </c>
      <c r="G275">
        <v>579.23</v>
      </c>
      <c r="H275"/>
      <c r="N275" s="38">
        <f t="shared" si="4"/>
        <v>0</v>
      </c>
    </row>
    <row r="276" spans="1:14" x14ac:dyDescent="0.25">
      <c r="A276" s="1" t="s">
        <v>99</v>
      </c>
      <c r="B276" t="s">
        <v>101</v>
      </c>
      <c r="C276" s="62">
        <f>VLOOKUP(B276,合并仓明细!$D$2:$F$74,3,0)</f>
        <v>93</v>
      </c>
      <c r="D276" t="s">
        <v>393</v>
      </c>
      <c r="E276" t="s">
        <v>321</v>
      </c>
      <c r="F276" t="s">
        <v>66</v>
      </c>
      <c r="G276">
        <v>188.85</v>
      </c>
      <c r="H276"/>
      <c r="L276" s="37"/>
      <c r="M276" s="39"/>
      <c r="N276" s="38">
        <f t="shared" si="4"/>
        <v>0</v>
      </c>
    </row>
    <row r="277" spans="1:14" x14ac:dyDescent="0.25">
      <c r="A277" s="1" t="s">
        <v>99</v>
      </c>
      <c r="B277" t="s">
        <v>101</v>
      </c>
      <c r="C277" s="62">
        <f>VLOOKUP(B277,合并仓明细!$D$2:$F$74,3,0)</f>
        <v>93</v>
      </c>
      <c r="D277" t="s">
        <v>393</v>
      </c>
      <c r="E277" t="s">
        <v>330</v>
      </c>
      <c r="F277" t="s">
        <v>68</v>
      </c>
      <c r="G277">
        <v>6086.09</v>
      </c>
      <c r="H277">
        <v>20.70814</v>
      </c>
      <c r="I277" s="46">
        <f>ROUNDUP(H277/30,0)*VLOOKUP(D277,'报价表-配送'!$B$2:$I$6,8,0)</f>
        <v>0</v>
      </c>
      <c r="N277" s="38">
        <f t="shared" si="4"/>
        <v>0</v>
      </c>
    </row>
    <row r="278" spans="1:14" x14ac:dyDescent="0.25">
      <c r="A278" s="1" t="s">
        <v>99</v>
      </c>
      <c r="B278" t="s">
        <v>101</v>
      </c>
      <c r="C278" s="62">
        <f>VLOOKUP(B278,合并仓明细!$D$2:$F$74,3,0)</f>
        <v>93</v>
      </c>
      <c r="D278" t="s">
        <v>393</v>
      </c>
      <c r="E278" t="s">
        <v>330</v>
      </c>
      <c r="F278" t="s">
        <v>67</v>
      </c>
      <c r="G278">
        <v>14112.9</v>
      </c>
      <c r="H278"/>
      <c r="N278" s="38">
        <f t="shared" si="4"/>
        <v>0</v>
      </c>
    </row>
    <row r="279" spans="1:14" x14ac:dyDescent="0.25">
      <c r="A279" s="1" t="s">
        <v>99</v>
      </c>
      <c r="B279" t="s">
        <v>101</v>
      </c>
      <c r="C279" s="62">
        <f>VLOOKUP(B279,合并仓明细!$D$2:$F$74,3,0)</f>
        <v>93</v>
      </c>
      <c r="D279" t="s">
        <v>393</v>
      </c>
      <c r="E279" t="s">
        <v>330</v>
      </c>
      <c r="F279" t="s">
        <v>66</v>
      </c>
      <c r="G279">
        <v>509.15</v>
      </c>
      <c r="H279"/>
      <c r="N279" s="38">
        <f t="shared" si="4"/>
        <v>0</v>
      </c>
    </row>
    <row r="280" spans="1:14" x14ac:dyDescent="0.25">
      <c r="A280" s="1" t="s">
        <v>99</v>
      </c>
      <c r="B280" t="s">
        <v>101</v>
      </c>
      <c r="C280" s="62">
        <f>VLOOKUP(B280,合并仓明细!$D$2:$F$74,3,0)</f>
        <v>93</v>
      </c>
      <c r="D280" t="s">
        <v>393</v>
      </c>
      <c r="E280" t="s">
        <v>303</v>
      </c>
      <c r="F280" t="s">
        <v>68</v>
      </c>
      <c r="G280">
        <v>2699.5099999999998</v>
      </c>
      <c r="H280">
        <v>7.5933699999999993</v>
      </c>
      <c r="I280" s="46">
        <f>ROUNDUP(H280/30,0)*VLOOKUP(D280,'报价表-配送'!$B$2:$I$6,8,0)</f>
        <v>0</v>
      </c>
      <c r="N280" s="38">
        <f t="shared" si="4"/>
        <v>0</v>
      </c>
    </row>
    <row r="281" spans="1:14" x14ac:dyDescent="0.25">
      <c r="A281" s="1" t="s">
        <v>99</v>
      </c>
      <c r="B281" t="s">
        <v>101</v>
      </c>
      <c r="C281" s="62">
        <f>VLOOKUP(B281,合并仓明细!$D$2:$F$74,3,0)</f>
        <v>93</v>
      </c>
      <c r="D281" t="s">
        <v>393</v>
      </c>
      <c r="E281" t="s">
        <v>303</v>
      </c>
      <c r="F281" t="s">
        <v>67</v>
      </c>
      <c r="G281">
        <v>4368.63</v>
      </c>
      <c r="H281"/>
      <c r="N281" s="38">
        <f t="shared" si="4"/>
        <v>0</v>
      </c>
    </row>
    <row r="282" spans="1:14" x14ac:dyDescent="0.25">
      <c r="A282" s="1" t="s">
        <v>99</v>
      </c>
      <c r="B282" t="s">
        <v>101</v>
      </c>
      <c r="C282" s="62">
        <f>VLOOKUP(B282,合并仓明细!$D$2:$F$74,3,0)</f>
        <v>93</v>
      </c>
      <c r="D282" t="s">
        <v>393</v>
      </c>
      <c r="E282" t="s">
        <v>303</v>
      </c>
      <c r="F282" t="s">
        <v>66</v>
      </c>
      <c r="G282">
        <v>525.23</v>
      </c>
      <c r="H282"/>
      <c r="N282" s="38">
        <f t="shared" si="4"/>
        <v>0</v>
      </c>
    </row>
    <row r="283" spans="1:14" x14ac:dyDescent="0.25">
      <c r="A283" s="1" t="s">
        <v>99</v>
      </c>
      <c r="B283" t="s">
        <v>101</v>
      </c>
      <c r="C283" s="62">
        <f>VLOOKUP(B283,合并仓明细!$D$2:$F$74,3,0)</f>
        <v>93</v>
      </c>
      <c r="D283" t="s">
        <v>393</v>
      </c>
      <c r="E283" t="s">
        <v>365</v>
      </c>
      <c r="F283" t="s">
        <v>67</v>
      </c>
      <c r="G283">
        <v>255.45</v>
      </c>
      <c r="H283">
        <v>0.76458999999999988</v>
      </c>
      <c r="I283" s="38">
        <f>IF(H283&gt;30,QUOTIENT(H283,30)*VLOOKUP(D283,'报价表-配送'!$B$2:$I$6,8,0),0)+IF(AND(MOD(H283,30)&gt;18,MOD(H283,30)&lt;=30),1,0)*VLOOKUP(D283,'报价表-配送'!$B$2:$I$6,8,0)</f>
        <v>0</v>
      </c>
      <c r="J283" s="38">
        <f>IF(AND(MOD(H283,30)&gt;8,MOD(H283,30)&lt;=18),1*VLOOKUP(D283,'报价表-配送'!$B$2:$I$6,7,0),0)</f>
        <v>0</v>
      </c>
      <c r="K283" s="38">
        <f>IF(AND(MOD(H283,30)&lt;=8,MOD(H283,30)&gt;0),1,0)*VLOOKUP(D283,'报价表-配送'!$B$2:$I$6,6,0)</f>
        <v>0</v>
      </c>
      <c r="N283" s="38">
        <f t="shared" si="4"/>
        <v>0</v>
      </c>
    </row>
    <row r="284" spans="1:14" x14ac:dyDescent="0.25">
      <c r="A284" s="1" t="s">
        <v>99</v>
      </c>
      <c r="B284" t="s">
        <v>101</v>
      </c>
      <c r="C284" s="62">
        <f>VLOOKUP(B284,合并仓明细!$D$2:$F$74,3,0)</f>
        <v>93</v>
      </c>
      <c r="D284" t="s">
        <v>393</v>
      </c>
      <c r="E284" t="s">
        <v>365</v>
      </c>
      <c r="F284" t="s">
        <v>66</v>
      </c>
      <c r="G284">
        <v>509.13999999999993</v>
      </c>
      <c r="H284"/>
      <c r="N284" s="38">
        <f t="shared" si="4"/>
        <v>0</v>
      </c>
    </row>
    <row r="285" spans="1:14" x14ac:dyDescent="0.25">
      <c r="A285" s="1" t="s">
        <v>99</v>
      </c>
      <c r="B285" t="s">
        <v>101</v>
      </c>
      <c r="C285" s="62">
        <f>VLOOKUP(B285,合并仓明细!$D$2:$F$74,3,0)</f>
        <v>93</v>
      </c>
      <c r="D285" t="s">
        <v>393</v>
      </c>
      <c r="E285" t="s">
        <v>252</v>
      </c>
      <c r="F285" t="s">
        <v>68</v>
      </c>
      <c r="G285">
        <v>340.39</v>
      </c>
      <c r="H285">
        <v>4.7293500000000002</v>
      </c>
      <c r="I285" s="46">
        <f>ROUNDUP(H285/30,0)*VLOOKUP(D285,'报价表-配送'!$B$2:$I$6,8,0)</f>
        <v>0</v>
      </c>
      <c r="N285" s="38">
        <f t="shared" si="4"/>
        <v>0</v>
      </c>
    </row>
    <row r="286" spans="1:14" x14ac:dyDescent="0.25">
      <c r="A286" s="1" t="s">
        <v>99</v>
      </c>
      <c r="B286" t="s">
        <v>101</v>
      </c>
      <c r="C286" s="62">
        <f>VLOOKUP(B286,合并仓明细!$D$2:$F$74,3,0)</f>
        <v>93</v>
      </c>
      <c r="D286" t="s">
        <v>393</v>
      </c>
      <c r="E286" t="s">
        <v>252</v>
      </c>
      <c r="F286" t="s">
        <v>67</v>
      </c>
      <c r="G286">
        <v>4186.67</v>
      </c>
      <c r="H286"/>
      <c r="N286" s="38">
        <f t="shared" si="4"/>
        <v>0</v>
      </c>
    </row>
    <row r="287" spans="1:14" x14ac:dyDescent="0.25">
      <c r="A287" s="1" t="s">
        <v>99</v>
      </c>
      <c r="B287" t="s">
        <v>101</v>
      </c>
      <c r="C287" s="62">
        <f>VLOOKUP(B287,合并仓明细!$D$2:$F$74,3,0)</f>
        <v>93</v>
      </c>
      <c r="D287" t="s">
        <v>393</v>
      </c>
      <c r="E287" t="s">
        <v>252</v>
      </c>
      <c r="F287" t="s">
        <v>66</v>
      </c>
      <c r="G287">
        <v>202.29</v>
      </c>
      <c r="H287"/>
      <c r="N287" s="38">
        <f t="shared" si="4"/>
        <v>0</v>
      </c>
    </row>
    <row r="288" spans="1:14" x14ac:dyDescent="0.25">
      <c r="A288" s="1" t="s">
        <v>99</v>
      </c>
      <c r="B288" t="s">
        <v>101</v>
      </c>
      <c r="C288" s="62">
        <f>VLOOKUP(B288,合并仓明细!$D$2:$F$74,3,0)</f>
        <v>93</v>
      </c>
      <c r="D288" t="s">
        <v>393</v>
      </c>
      <c r="E288" t="s">
        <v>304</v>
      </c>
      <c r="F288" t="s">
        <v>68</v>
      </c>
      <c r="G288">
        <v>930.24</v>
      </c>
      <c r="H288">
        <v>1.6851399999999999</v>
      </c>
      <c r="I288" s="46">
        <f>ROUNDUP(H288/30,0)*VLOOKUP(D288,'报价表-配送'!$B$2:$I$6,8,0)</f>
        <v>0</v>
      </c>
      <c r="N288" s="38">
        <f t="shared" si="4"/>
        <v>0</v>
      </c>
    </row>
    <row r="289" spans="1:14" x14ac:dyDescent="0.25">
      <c r="A289" s="1" t="s">
        <v>99</v>
      </c>
      <c r="B289" t="s">
        <v>101</v>
      </c>
      <c r="C289" s="62">
        <f>VLOOKUP(B289,合并仓明细!$D$2:$F$74,3,0)</f>
        <v>93</v>
      </c>
      <c r="D289" t="s">
        <v>393</v>
      </c>
      <c r="E289" t="s">
        <v>304</v>
      </c>
      <c r="F289" t="s">
        <v>67</v>
      </c>
      <c r="G289">
        <v>180.53</v>
      </c>
      <c r="H289"/>
      <c r="N289" s="38">
        <f t="shared" si="4"/>
        <v>0</v>
      </c>
    </row>
    <row r="290" spans="1:14" x14ac:dyDescent="0.25">
      <c r="A290" s="1" t="s">
        <v>99</v>
      </c>
      <c r="B290" t="s">
        <v>101</v>
      </c>
      <c r="C290" s="62">
        <f>VLOOKUP(B290,合并仓明细!$D$2:$F$74,3,0)</f>
        <v>93</v>
      </c>
      <c r="D290" t="s">
        <v>393</v>
      </c>
      <c r="E290" t="s">
        <v>304</v>
      </c>
      <c r="F290" t="s">
        <v>66</v>
      </c>
      <c r="G290">
        <v>574.37</v>
      </c>
      <c r="H290"/>
      <c r="N290" s="38">
        <f t="shared" si="4"/>
        <v>0</v>
      </c>
    </row>
    <row r="291" spans="1:14" x14ac:dyDescent="0.25">
      <c r="A291" s="1" t="s">
        <v>99</v>
      </c>
      <c r="B291" t="s">
        <v>101</v>
      </c>
      <c r="C291" s="62">
        <f>VLOOKUP(B291,合并仓明细!$D$2:$F$74,3,0)</f>
        <v>93</v>
      </c>
      <c r="D291" t="s">
        <v>393</v>
      </c>
      <c r="E291" t="s">
        <v>253</v>
      </c>
      <c r="F291" t="s">
        <v>68</v>
      </c>
      <c r="G291">
        <v>1024.8499999999999</v>
      </c>
      <c r="H291">
        <v>3.1182399999999992</v>
      </c>
      <c r="I291" s="46">
        <f>ROUNDUP(H291/30,0)*VLOOKUP(D291,'报价表-配送'!$B$2:$I$6,8,0)</f>
        <v>0</v>
      </c>
      <c r="N291" s="38">
        <f t="shared" si="4"/>
        <v>0</v>
      </c>
    </row>
    <row r="292" spans="1:14" x14ac:dyDescent="0.25">
      <c r="A292" s="1" t="s">
        <v>99</v>
      </c>
      <c r="B292" t="s">
        <v>101</v>
      </c>
      <c r="C292" s="62">
        <f>VLOOKUP(B292,合并仓明细!$D$2:$F$74,3,0)</f>
        <v>93</v>
      </c>
      <c r="D292" t="s">
        <v>393</v>
      </c>
      <c r="E292" t="s">
        <v>253</v>
      </c>
      <c r="F292" t="s">
        <v>66</v>
      </c>
      <c r="G292">
        <v>2093.3899999999994</v>
      </c>
      <c r="H292"/>
      <c r="N292" s="38">
        <f t="shared" si="4"/>
        <v>0</v>
      </c>
    </row>
    <row r="293" spans="1:14" x14ac:dyDescent="0.25">
      <c r="A293" s="1" t="s">
        <v>99</v>
      </c>
      <c r="B293" t="s">
        <v>101</v>
      </c>
      <c r="C293" s="62">
        <f>VLOOKUP(B293,合并仓明细!$D$2:$F$74,3,0)</f>
        <v>93</v>
      </c>
      <c r="D293" t="s">
        <v>393</v>
      </c>
      <c r="E293" t="s">
        <v>356</v>
      </c>
      <c r="F293" t="s">
        <v>66</v>
      </c>
      <c r="G293">
        <v>397.16</v>
      </c>
      <c r="H293">
        <v>0.39716000000000001</v>
      </c>
      <c r="L293" s="37">
        <f>IF(H293&gt;30,QUOTIENT(H293,30)*VLOOKUP(D293,'报价表-配送'!$B$2:$I$6,8,0),0)+IF(AND(MOD(H293,30)&gt;18,MOD(H293,30)&lt;=30),1,0)*VLOOKUP(D293,'报价表-配送'!$B$2:$I$6,8,0)+IF(AND(MOD(H293,30)&gt;8,MOD(H293,30)&lt;=18),1*VLOOKUP(D293,'报价表-配送'!$B$2:$I$6,7,0),0)+IF(AND(MOD(H293,30)&lt;=8,MOD(H293,30)&gt;2.5),1,0)*VLOOKUP(D293,'报价表-配送'!$B$2:$I$6,6,0)+IF(AND(MOD(H293,30)&lt;=2.5,MOD(H293,30)&gt;=1.5),1,0)*VLOOKUP(D293,'报价表-配送'!$B$2:$I$6,5,0)</f>
        <v>0</v>
      </c>
      <c r="M293" s="39">
        <f>IF(AND(MOD(H293,30)&lt;1.5,MOD(H293,30)&gt;=0.5),H293,0)*VLOOKUP(D293,'报价表-配送'!$B$2:$I$6,4,0)*1000+IF(AND(MOD(H293,30)&lt;0.5,MOD(H293,30)&gt;=0.02),H293,0)*VLOOKUP(D293,'报价表-配送'!$B$2:$I$6,3,0)*1000+IF(AND(MOD(H293,30)&lt;0.02),H293,0)*VLOOKUP(D293,'报价表-配送'!$B$2:$I$6,2,0)*1000</f>
        <v>0</v>
      </c>
      <c r="N293" s="38">
        <f t="shared" si="4"/>
        <v>0</v>
      </c>
    </row>
    <row r="294" spans="1:14" x14ac:dyDescent="0.25">
      <c r="A294" s="1" t="s">
        <v>99</v>
      </c>
      <c r="B294" t="s">
        <v>101</v>
      </c>
      <c r="C294" s="62">
        <f>VLOOKUP(B294,合并仓明细!$D$2:$F$74,3,0)</f>
        <v>93</v>
      </c>
      <c r="D294" t="s">
        <v>393</v>
      </c>
      <c r="E294" t="s">
        <v>331</v>
      </c>
      <c r="F294" t="s">
        <v>68</v>
      </c>
      <c r="G294">
        <v>1366.46</v>
      </c>
      <c r="H294">
        <v>1.6906300000000001</v>
      </c>
      <c r="I294" s="46">
        <f>ROUNDUP(H294/30,0)*VLOOKUP(D294,'报价表-配送'!$B$2:$I$6,8,0)</f>
        <v>0</v>
      </c>
      <c r="N294" s="38">
        <f t="shared" si="4"/>
        <v>0</v>
      </c>
    </row>
    <row r="295" spans="1:14" x14ac:dyDescent="0.25">
      <c r="A295" s="1" t="s">
        <v>99</v>
      </c>
      <c r="B295" t="s">
        <v>101</v>
      </c>
      <c r="C295" s="62">
        <f>VLOOKUP(B295,合并仓明细!$D$2:$F$74,3,0)</f>
        <v>93</v>
      </c>
      <c r="D295" t="s">
        <v>393</v>
      </c>
      <c r="E295" t="s">
        <v>331</v>
      </c>
      <c r="F295" t="s">
        <v>66</v>
      </c>
      <c r="G295">
        <v>324.16999999999996</v>
      </c>
      <c r="H295"/>
      <c r="N295" s="38">
        <f t="shared" si="4"/>
        <v>0</v>
      </c>
    </row>
    <row r="296" spans="1:14" x14ac:dyDescent="0.25">
      <c r="A296" s="1" t="s">
        <v>99</v>
      </c>
      <c r="B296" t="s">
        <v>101</v>
      </c>
      <c r="C296" s="62">
        <f>VLOOKUP(B296,合并仓明细!$D$2:$F$74,3,0)</f>
        <v>93</v>
      </c>
      <c r="D296" t="s">
        <v>393</v>
      </c>
      <c r="E296" t="s">
        <v>328</v>
      </c>
      <c r="F296" t="s">
        <v>66</v>
      </c>
      <c r="G296">
        <v>519.33999999999992</v>
      </c>
      <c r="H296">
        <v>0.51933999999999991</v>
      </c>
      <c r="L296" s="37">
        <f>IF(H296&gt;30,QUOTIENT(H296,30)*VLOOKUP(D296,'报价表-配送'!$B$2:$I$6,8,0),0)+IF(AND(MOD(H296,30)&gt;18,MOD(H296,30)&lt;=30),1,0)*VLOOKUP(D296,'报价表-配送'!$B$2:$I$6,8,0)+IF(AND(MOD(H296,30)&gt;8,MOD(H296,30)&lt;=18),1*VLOOKUP(D296,'报价表-配送'!$B$2:$I$6,7,0),0)+IF(AND(MOD(H296,30)&lt;=8,MOD(H296,30)&gt;2.5),1,0)*VLOOKUP(D296,'报价表-配送'!$B$2:$I$6,6,0)+IF(AND(MOD(H296,30)&lt;=2.5,MOD(H296,30)&gt;=1.5),1,0)*VLOOKUP(D296,'报价表-配送'!$B$2:$I$6,5,0)</f>
        <v>0</v>
      </c>
      <c r="M296" s="39">
        <f>IF(AND(MOD(H296,30)&lt;1.5,MOD(H296,30)&gt;=0.5),H296,0)*VLOOKUP(D296,'报价表-配送'!$B$2:$I$6,4,0)*1000+IF(AND(MOD(H296,30)&lt;0.5,MOD(H296,30)&gt;=0.02),H296,0)*VLOOKUP(D296,'报价表-配送'!$B$2:$I$6,3,0)*1000+IF(AND(MOD(H296,30)&lt;0.02),H296,0)*VLOOKUP(D296,'报价表-配送'!$B$2:$I$6,2,0)*1000</f>
        <v>0</v>
      </c>
      <c r="N296" s="38">
        <f t="shared" si="4"/>
        <v>0</v>
      </c>
    </row>
    <row r="297" spans="1:14" x14ac:dyDescent="0.25">
      <c r="A297" s="1" t="s">
        <v>99</v>
      </c>
      <c r="B297" t="s">
        <v>101</v>
      </c>
      <c r="C297" s="62">
        <f>VLOOKUP(B297,合并仓明细!$D$2:$F$74,3,0)</f>
        <v>93</v>
      </c>
      <c r="D297" t="s">
        <v>393</v>
      </c>
      <c r="E297" t="s">
        <v>254</v>
      </c>
      <c r="F297" t="s">
        <v>67</v>
      </c>
      <c r="G297">
        <v>433.96</v>
      </c>
      <c r="H297">
        <v>0.6210699999999999</v>
      </c>
      <c r="I297" s="38">
        <f>IF(H297&gt;30,QUOTIENT(H297,30)*VLOOKUP(D297,'报价表-配送'!$B$2:$I$6,8,0),0)+IF(AND(MOD(H297,30)&gt;18,MOD(H297,30)&lt;=30),1,0)*VLOOKUP(D297,'报价表-配送'!$B$2:$I$6,8,0)</f>
        <v>0</v>
      </c>
      <c r="J297" s="38">
        <f>IF(AND(MOD(H297,30)&gt;8,MOD(H297,30)&lt;=18),1*VLOOKUP(D297,'报价表-配送'!$B$2:$I$6,7,0),0)</f>
        <v>0</v>
      </c>
      <c r="K297" s="38">
        <f>IF(AND(MOD(H297,30)&lt;=8,MOD(H297,30)&gt;0),1,0)*VLOOKUP(D297,'报价表-配送'!$B$2:$I$6,6,0)</f>
        <v>0</v>
      </c>
      <c r="N297" s="38">
        <f t="shared" si="4"/>
        <v>0</v>
      </c>
    </row>
    <row r="298" spans="1:14" x14ac:dyDescent="0.25">
      <c r="A298" s="1" t="s">
        <v>99</v>
      </c>
      <c r="B298" t="s">
        <v>101</v>
      </c>
      <c r="C298" s="62">
        <f>VLOOKUP(B298,合并仓明细!$D$2:$F$74,3,0)</f>
        <v>93</v>
      </c>
      <c r="D298" t="s">
        <v>393</v>
      </c>
      <c r="E298" t="s">
        <v>254</v>
      </c>
      <c r="F298" t="s">
        <v>66</v>
      </c>
      <c r="G298">
        <v>187.11</v>
      </c>
      <c r="H298"/>
      <c r="N298" s="38">
        <f t="shared" si="4"/>
        <v>0</v>
      </c>
    </row>
    <row r="299" spans="1:14" x14ac:dyDescent="0.25">
      <c r="A299" s="1" t="s">
        <v>99</v>
      </c>
      <c r="B299" t="s">
        <v>101</v>
      </c>
      <c r="C299" s="62">
        <f>VLOOKUP(B299,合并仓明细!$D$2:$F$74,3,0)</f>
        <v>93</v>
      </c>
      <c r="D299" t="s">
        <v>393</v>
      </c>
      <c r="E299" t="s">
        <v>305</v>
      </c>
      <c r="F299" t="s">
        <v>68</v>
      </c>
      <c r="G299">
        <v>1063.1699999999998</v>
      </c>
      <c r="H299">
        <v>17.12604</v>
      </c>
      <c r="I299" s="46">
        <f>ROUNDUP(H299/30,0)*VLOOKUP(D299,'报价表-配送'!$B$2:$I$6,8,0)</f>
        <v>0</v>
      </c>
      <c r="N299" s="38">
        <f t="shared" si="4"/>
        <v>0</v>
      </c>
    </row>
    <row r="300" spans="1:14" x14ac:dyDescent="0.25">
      <c r="A300" s="1" t="s">
        <v>99</v>
      </c>
      <c r="B300" t="s">
        <v>101</v>
      </c>
      <c r="C300" s="62">
        <f>VLOOKUP(B300,合并仓明细!$D$2:$F$74,3,0)</f>
        <v>93</v>
      </c>
      <c r="D300" t="s">
        <v>393</v>
      </c>
      <c r="E300" t="s">
        <v>305</v>
      </c>
      <c r="F300" t="s">
        <v>67</v>
      </c>
      <c r="G300">
        <v>15213.32</v>
      </c>
      <c r="H300"/>
      <c r="I300" s="46"/>
      <c r="N300" s="38">
        <f t="shared" si="4"/>
        <v>0</v>
      </c>
    </row>
    <row r="301" spans="1:14" x14ac:dyDescent="0.25">
      <c r="A301" s="1" t="s">
        <v>99</v>
      </c>
      <c r="B301" t="s">
        <v>101</v>
      </c>
      <c r="C301" s="62">
        <f>VLOOKUP(B301,合并仓明细!$D$2:$F$74,3,0)</f>
        <v>93</v>
      </c>
      <c r="D301" t="s">
        <v>393</v>
      </c>
      <c r="E301" t="s">
        <v>305</v>
      </c>
      <c r="F301" t="s">
        <v>66</v>
      </c>
      <c r="G301">
        <v>849.5500000000003</v>
      </c>
      <c r="H301"/>
      <c r="N301" s="38">
        <f t="shared" si="4"/>
        <v>0</v>
      </c>
    </row>
    <row r="302" spans="1:14" x14ac:dyDescent="0.25">
      <c r="A302" s="1" t="s">
        <v>99</v>
      </c>
      <c r="B302" t="s">
        <v>101</v>
      </c>
      <c r="C302" s="62">
        <f>VLOOKUP(B302,合并仓明细!$D$2:$F$74,3,0)</f>
        <v>93</v>
      </c>
      <c r="D302" t="s">
        <v>393</v>
      </c>
      <c r="E302" t="s">
        <v>332</v>
      </c>
      <c r="F302" t="s">
        <v>68</v>
      </c>
      <c r="G302">
        <v>2731.23</v>
      </c>
      <c r="H302">
        <v>19.606440000000003</v>
      </c>
      <c r="I302" s="46">
        <f>ROUNDUP(H302/30,0)*VLOOKUP(D302,'报价表-配送'!$B$2:$I$6,8,0)</f>
        <v>0</v>
      </c>
      <c r="N302" s="38">
        <f t="shared" si="4"/>
        <v>0</v>
      </c>
    </row>
    <row r="303" spans="1:14" x14ac:dyDescent="0.25">
      <c r="A303" s="1" t="s">
        <v>99</v>
      </c>
      <c r="B303" t="s">
        <v>101</v>
      </c>
      <c r="C303" s="62">
        <f>VLOOKUP(B303,合并仓明细!$D$2:$F$74,3,0)</f>
        <v>93</v>
      </c>
      <c r="D303" t="s">
        <v>393</v>
      </c>
      <c r="E303" t="s">
        <v>332</v>
      </c>
      <c r="F303" t="s">
        <v>67</v>
      </c>
      <c r="G303">
        <v>15033.01</v>
      </c>
      <c r="H303"/>
      <c r="I303" s="46"/>
      <c r="N303" s="38">
        <f t="shared" si="4"/>
        <v>0</v>
      </c>
    </row>
    <row r="304" spans="1:14" x14ac:dyDescent="0.25">
      <c r="A304" s="1" t="s">
        <v>99</v>
      </c>
      <c r="B304" t="s">
        <v>101</v>
      </c>
      <c r="C304" s="62">
        <f>VLOOKUP(B304,合并仓明细!$D$2:$F$74,3,0)</f>
        <v>93</v>
      </c>
      <c r="D304" t="s">
        <v>393</v>
      </c>
      <c r="E304" t="s">
        <v>332</v>
      </c>
      <c r="F304" t="s">
        <v>66</v>
      </c>
      <c r="G304">
        <v>1842.2000000000003</v>
      </c>
      <c r="H304"/>
      <c r="N304" s="38">
        <f t="shared" si="4"/>
        <v>0</v>
      </c>
    </row>
    <row r="305" spans="1:14" x14ac:dyDescent="0.25">
      <c r="A305" s="1" t="s">
        <v>99</v>
      </c>
      <c r="B305" t="s">
        <v>101</v>
      </c>
      <c r="C305" s="62">
        <f>VLOOKUP(B305,合并仓明细!$D$2:$F$74,3,0)</f>
        <v>93</v>
      </c>
      <c r="D305" t="s">
        <v>393</v>
      </c>
      <c r="E305" t="s">
        <v>367</v>
      </c>
      <c r="F305" t="s">
        <v>67</v>
      </c>
      <c r="G305">
        <v>3246.34</v>
      </c>
      <c r="H305">
        <v>4.0213900000000002</v>
      </c>
      <c r="I305" s="38">
        <f>IF(H305&gt;30,QUOTIENT(H305,30)*VLOOKUP(D305,'报价表-配送'!$B$2:$I$6,8,0),0)+IF(AND(MOD(H305,30)&gt;18,MOD(H305,30)&lt;=30),1,0)*VLOOKUP(D305,'报价表-配送'!$B$2:$I$6,8,0)</f>
        <v>0</v>
      </c>
      <c r="J305" s="38">
        <f>IF(AND(MOD(H305,30)&gt;8,MOD(H305,30)&lt;=18),1*VLOOKUP(D305,'报价表-配送'!$B$2:$I$6,7,0),0)</f>
        <v>0</v>
      </c>
      <c r="K305" s="38">
        <f>IF(AND(MOD(H305,30)&lt;=8,MOD(H305,30)&gt;0),1,0)*VLOOKUP(D305,'报价表-配送'!$B$2:$I$6,6,0)</f>
        <v>0</v>
      </c>
      <c r="N305" s="38">
        <f t="shared" si="4"/>
        <v>0</v>
      </c>
    </row>
    <row r="306" spans="1:14" x14ac:dyDescent="0.25">
      <c r="A306" s="1" t="s">
        <v>99</v>
      </c>
      <c r="B306" t="s">
        <v>101</v>
      </c>
      <c r="C306" s="62">
        <f>VLOOKUP(B306,合并仓明细!$D$2:$F$74,3,0)</f>
        <v>93</v>
      </c>
      <c r="D306" t="s">
        <v>393</v>
      </c>
      <c r="E306" t="s">
        <v>367</v>
      </c>
      <c r="F306" t="s">
        <v>66</v>
      </c>
      <c r="G306">
        <v>775.05</v>
      </c>
      <c r="H306"/>
      <c r="I306" s="46"/>
      <c r="N306" s="38">
        <f t="shared" si="4"/>
        <v>0</v>
      </c>
    </row>
    <row r="307" spans="1:14" x14ac:dyDescent="0.25">
      <c r="A307" s="1" t="s">
        <v>99</v>
      </c>
      <c r="B307" t="s">
        <v>101</v>
      </c>
      <c r="C307" s="62">
        <f>VLOOKUP(B307,合并仓明细!$D$2:$F$74,3,0)</f>
        <v>93</v>
      </c>
      <c r="D307" t="s">
        <v>393</v>
      </c>
      <c r="E307" t="s">
        <v>255</v>
      </c>
      <c r="F307" t="s">
        <v>66</v>
      </c>
      <c r="G307">
        <v>147.44</v>
      </c>
      <c r="H307">
        <v>0.14743999999999999</v>
      </c>
      <c r="L307" s="37">
        <f>IF(H307&gt;30,QUOTIENT(H307,30)*VLOOKUP(D307,'报价表-配送'!$B$2:$I$6,8,0),0)+IF(AND(MOD(H307,30)&gt;18,MOD(H307,30)&lt;=30),1,0)*VLOOKUP(D307,'报价表-配送'!$B$2:$I$6,8,0)+IF(AND(MOD(H307,30)&gt;8,MOD(H307,30)&lt;=18),1*VLOOKUP(D307,'报价表-配送'!$B$2:$I$6,7,0),0)+IF(AND(MOD(H307,30)&lt;=8,MOD(H307,30)&gt;2.5),1,0)*VLOOKUP(D307,'报价表-配送'!$B$2:$I$6,6,0)+IF(AND(MOD(H307,30)&lt;=2.5,MOD(H307,30)&gt;=1.5),1,0)*VLOOKUP(D307,'报价表-配送'!$B$2:$I$6,5,0)</f>
        <v>0</v>
      </c>
      <c r="M307" s="39">
        <f>IF(AND(MOD(H307,30)&lt;1.5,MOD(H307,30)&gt;=0.5),H307,0)*VLOOKUP(D307,'报价表-配送'!$B$2:$I$6,4,0)*1000+IF(AND(MOD(H307,30)&lt;0.5,MOD(H307,30)&gt;=0.02),H307,0)*VLOOKUP(D307,'报价表-配送'!$B$2:$I$6,3,0)*1000+IF(AND(MOD(H307,30)&lt;0.02),H307,0)*VLOOKUP(D307,'报价表-配送'!$B$2:$I$6,2,0)*1000</f>
        <v>0</v>
      </c>
      <c r="N307" s="38">
        <f t="shared" si="4"/>
        <v>0</v>
      </c>
    </row>
    <row r="308" spans="1:14" x14ac:dyDescent="0.25">
      <c r="A308" s="1" t="s">
        <v>99</v>
      </c>
      <c r="B308" t="s">
        <v>179</v>
      </c>
      <c r="C308" s="62">
        <f>VLOOKUP(B308,合并仓明细!$D$2:$F$74,3,0)</f>
        <v>189</v>
      </c>
      <c r="D308" t="s">
        <v>413</v>
      </c>
      <c r="E308" t="s">
        <v>264</v>
      </c>
      <c r="F308" t="s">
        <v>66</v>
      </c>
      <c r="G308">
        <v>38.699999999999996</v>
      </c>
      <c r="H308">
        <v>3.8699999999999998E-2</v>
      </c>
      <c r="L308" s="37">
        <f>IF(H308&gt;30,QUOTIENT(H308,30)*VLOOKUP(D308,'报价表-配送'!$B$2:$I$6,8,0),0)+IF(AND(MOD(H308,30)&gt;18,MOD(H308,30)&lt;=30),1,0)*VLOOKUP(D308,'报价表-配送'!$B$2:$I$6,8,0)+IF(AND(MOD(H308,30)&gt;8,MOD(H308,30)&lt;=18),1*VLOOKUP(D308,'报价表-配送'!$B$2:$I$6,7,0),0)+IF(AND(MOD(H308,30)&lt;=8,MOD(H308,30)&gt;2.5),1,0)*VLOOKUP(D308,'报价表-配送'!$B$2:$I$6,6,0)+IF(AND(MOD(H308,30)&lt;=2.5,MOD(H308,30)&gt;=1.5),1,0)*VLOOKUP(D308,'报价表-配送'!$B$2:$I$6,5,0)</f>
        <v>0</v>
      </c>
      <c r="M308" s="39">
        <f>IF(AND(MOD(H308,30)&lt;1.5,MOD(H308,30)&gt;=0.5),H308,0)*VLOOKUP(D308,'报价表-配送'!$B$2:$I$6,4,0)*1000+IF(AND(MOD(H308,30)&lt;0.5,MOD(H308,30)&gt;=0.02),H308,0)*VLOOKUP(D308,'报价表-配送'!$B$2:$I$6,3,0)*1000+IF(AND(MOD(H308,30)&lt;0.02),H308,0)*VLOOKUP(D308,'报价表-配送'!$B$2:$I$6,2,0)*1000</f>
        <v>0</v>
      </c>
      <c r="N308" s="38">
        <f t="shared" si="4"/>
        <v>0</v>
      </c>
    </row>
    <row r="309" spans="1:14" x14ac:dyDescent="0.25">
      <c r="A309" s="1" t="s">
        <v>99</v>
      </c>
      <c r="B309" t="s">
        <v>179</v>
      </c>
      <c r="C309" s="62">
        <f>VLOOKUP(B309,合并仓明细!$D$2:$F$74,3,0)</f>
        <v>189</v>
      </c>
      <c r="D309" t="s">
        <v>413</v>
      </c>
      <c r="E309" t="s">
        <v>322</v>
      </c>
      <c r="F309" t="s">
        <v>66</v>
      </c>
      <c r="G309">
        <v>3</v>
      </c>
      <c r="H309">
        <v>3.0000000000000001E-3</v>
      </c>
      <c r="I309" s="46"/>
      <c r="L309" s="37">
        <f>IF(H309&gt;30,QUOTIENT(H309,30)*VLOOKUP(D309,'报价表-配送'!$B$2:$I$6,8,0),0)+IF(AND(MOD(H309,30)&gt;18,MOD(H309,30)&lt;=30),1,0)*VLOOKUP(D309,'报价表-配送'!$B$2:$I$6,8,0)+IF(AND(MOD(H309,30)&gt;8,MOD(H309,30)&lt;=18),1*VLOOKUP(D309,'报价表-配送'!$B$2:$I$6,7,0),0)+IF(AND(MOD(H309,30)&lt;=8,MOD(H309,30)&gt;2.5),1,0)*VLOOKUP(D309,'报价表-配送'!$B$2:$I$6,6,0)+IF(AND(MOD(H309,30)&lt;=2.5,MOD(H309,30)&gt;=1.5),1,0)*VLOOKUP(D309,'报价表-配送'!$B$2:$I$6,5,0)</f>
        <v>0</v>
      </c>
      <c r="M309" s="39">
        <f>IF(AND(MOD(H309,30)&lt;1.5,MOD(H309,30)&gt;=0.5),H309,0)*VLOOKUP(D309,'报价表-配送'!$B$2:$I$6,4,0)*1000+IF(AND(MOD(H309,30)&lt;0.5,MOD(H309,30)&gt;=0.02),H309,0)*VLOOKUP(D309,'报价表-配送'!$B$2:$I$6,3,0)*1000+IF(AND(MOD(H309,30)&lt;0.02),H309,0)*VLOOKUP(D309,'报价表-配送'!$B$2:$I$6,2,0)*1000</f>
        <v>0</v>
      </c>
      <c r="N309" s="38">
        <f t="shared" si="4"/>
        <v>0</v>
      </c>
    </row>
    <row r="310" spans="1:14" x14ac:dyDescent="0.25">
      <c r="A310" s="1" t="s">
        <v>99</v>
      </c>
      <c r="B310" t="s">
        <v>179</v>
      </c>
      <c r="C310" s="62">
        <f>VLOOKUP(B310,合并仓明细!$D$2:$F$74,3,0)</f>
        <v>189</v>
      </c>
      <c r="D310" t="s">
        <v>413</v>
      </c>
      <c r="E310" t="s">
        <v>351</v>
      </c>
      <c r="F310" t="s">
        <v>66</v>
      </c>
      <c r="G310">
        <v>1.2</v>
      </c>
      <c r="H310">
        <v>1.1999999999999999E-3</v>
      </c>
      <c r="L310" s="37">
        <f>IF(H310&gt;30,QUOTIENT(H310,30)*VLOOKUP(D310,'报价表-配送'!$B$2:$I$6,8,0),0)+IF(AND(MOD(H310,30)&gt;18,MOD(H310,30)&lt;=30),1,0)*VLOOKUP(D310,'报价表-配送'!$B$2:$I$6,8,0)+IF(AND(MOD(H310,30)&gt;8,MOD(H310,30)&lt;=18),1*VLOOKUP(D310,'报价表-配送'!$B$2:$I$6,7,0),0)+IF(AND(MOD(H310,30)&lt;=8,MOD(H310,30)&gt;2.5),1,0)*VLOOKUP(D310,'报价表-配送'!$B$2:$I$6,6,0)+IF(AND(MOD(H310,30)&lt;=2.5,MOD(H310,30)&gt;=1.5),1,0)*VLOOKUP(D310,'报价表-配送'!$B$2:$I$6,5,0)</f>
        <v>0</v>
      </c>
      <c r="M310" s="39">
        <f>IF(AND(MOD(H310,30)&lt;1.5,MOD(H310,30)&gt;=0.5),H310,0)*VLOOKUP(D310,'报价表-配送'!$B$2:$I$6,4,0)*1000+IF(AND(MOD(H310,30)&lt;0.5,MOD(H310,30)&gt;=0.02),H310,0)*VLOOKUP(D310,'报价表-配送'!$B$2:$I$6,3,0)*1000+IF(AND(MOD(H310,30)&lt;0.02),H310,0)*VLOOKUP(D310,'报价表-配送'!$B$2:$I$6,2,0)*1000</f>
        <v>0</v>
      </c>
      <c r="N310" s="38">
        <f t="shared" si="4"/>
        <v>0</v>
      </c>
    </row>
    <row r="311" spans="1:14" x14ac:dyDescent="0.25">
      <c r="A311" s="1" t="s">
        <v>99</v>
      </c>
      <c r="B311" t="s">
        <v>179</v>
      </c>
      <c r="C311" s="62">
        <f>VLOOKUP(B311,合并仓明细!$D$2:$F$74,3,0)</f>
        <v>189</v>
      </c>
      <c r="D311" t="s">
        <v>413</v>
      </c>
      <c r="E311" t="s">
        <v>311</v>
      </c>
      <c r="F311" t="s">
        <v>66</v>
      </c>
      <c r="G311">
        <v>57.2</v>
      </c>
      <c r="H311">
        <v>5.7200000000000001E-2</v>
      </c>
      <c r="L311" s="37">
        <f>IF(H311&gt;30,QUOTIENT(H311,30)*VLOOKUP(D311,'报价表-配送'!$B$2:$I$6,8,0),0)+IF(AND(MOD(H311,30)&gt;18,MOD(H311,30)&lt;=30),1,0)*VLOOKUP(D311,'报价表-配送'!$B$2:$I$6,8,0)+IF(AND(MOD(H311,30)&gt;8,MOD(H311,30)&lt;=18),1*VLOOKUP(D311,'报价表-配送'!$B$2:$I$6,7,0),0)+IF(AND(MOD(H311,30)&lt;=8,MOD(H311,30)&gt;2.5),1,0)*VLOOKUP(D311,'报价表-配送'!$B$2:$I$6,6,0)+IF(AND(MOD(H311,30)&lt;=2.5,MOD(H311,30)&gt;=1.5),1,0)*VLOOKUP(D311,'报价表-配送'!$B$2:$I$6,5,0)</f>
        <v>0</v>
      </c>
      <c r="M311" s="39">
        <f>IF(AND(MOD(H311,30)&lt;1.5,MOD(H311,30)&gt;=0.5),H311,0)*VLOOKUP(D311,'报价表-配送'!$B$2:$I$6,4,0)*1000+IF(AND(MOD(H311,30)&lt;0.5,MOD(H311,30)&gt;=0.02),H311,0)*VLOOKUP(D311,'报价表-配送'!$B$2:$I$6,3,0)*1000+IF(AND(MOD(H311,30)&lt;0.02),H311,0)*VLOOKUP(D311,'报价表-配送'!$B$2:$I$6,2,0)*1000</f>
        <v>0</v>
      </c>
      <c r="N311" s="38">
        <f t="shared" si="4"/>
        <v>0</v>
      </c>
    </row>
    <row r="312" spans="1:14" x14ac:dyDescent="0.25">
      <c r="A312" s="1" t="s">
        <v>99</v>
      </c>
      <c r="B312" t="s">
        <v>179</v>
      </c>
      <c r="C312" s="62">
        <f>VLOOKUP(B312,合并仓明细!$D$2:$F$74,3,0)</f>
        <v>189</v>
      </c>
      <c r="D312" t="s">
        <v>413</v>
      </c>
      <c r="E312" t="s">
        <v>375</v>
      </c>
      <c r="F312" t="s">
        <v>68</v>
      </c>
      <c r="G312">
        <v>2491.08</v>
      </c>
      <c r="H312">
        <v>32.437840000000001</v>
      </c>
      <c r="I312" s="46">
        <f>ROUNDUP(H312/30,0)*VLOOKUP(D312,'报价表-配送'!$B$2:$I$6,8,0)</f>
        <v>0</v>
      </c>
      <c r="L312" s="37"/>
      <c r="M312" s="39"/>
      <c r="N312" s="38">
        <f t="shared" si="4"/>
        <v>0</v>
      </c>
    </row>
    <row r="313" spans="1:14" x14ac:dyDescent="0.25">
      <c r="A313" s="1" t="s">
        <v>99</v>
      </c>
      <c r="B313" t="s">
        <v>179</v>
      </c>
      <c r="C313" s="62">
        <f>VLOOKUP(B313,合并仓明细!$D$2:$F$74,3,0)</f>
        <v>189</v>
      </c>
      <c r="D313" t="s">
        <v>413</v>
      </c>
      <c r="E313" t="s">
        <v>375</v>
      </c>
      <c r="F313" t="s">
        <v>67</v>
      </c>
      <c r="G313">
        <v>29424.309999999998</v>
      </c>
      <c r="H313"/>
      <c r="N313" s="38">
        <f t="shared" si="4"/>
        <v>0</v>
      </c>
    </row>
    <row r="314" spans="1:14" x14ac:dyDescent="0.25">
      <c r="A314" s="1" t="s">
        <v>99</v>
      </c>
      <c r="B314" t="s">
        <v>179</v>
      </c>
      <c r="C314" s="62">
        <f>VLOOKUP(B314,合并仓明细!$D$2:$F$74,3,0)</f>
        <v>189</v>
      </c>
      <c r="D314" t="s">
        <v>413</v>
      </c>
      <c r="E314" t="s">
        <v>375</v>
      </c>
      <c r="F314" t="s">
        <v>66</v>
      </c>
      <c r="G314">
        <v>522.44999999999993</v>
      </c>
      <c r="H314"/>
      <c r="N314" s="38">
        <f t="shared" si="4"/>
        <v>0</v>
      </c>
    </row>
    <row r="315" spans="1:14" x14ac:dyDescent="0.25">
      <c r="A315" s="1" t="s">
        <v>99</v>
      </c>
      <c r="B315" t="s">
        <v>179</v>
      </c>
      <c r="C315" s="62">
        <f>VLOOKUP(B315,合并仓明细!$D$2:$F$74,3,0)</f>
        <v>189</v>
      </c>
      <c r="D315" t="s">
        <v>413</v>
      </c>
      <c r="E315" t="s">
        <v>324</v>
      </c>
      <c r="F315" t="s">
        <v>66</v>
      </c>
      <c r="G315">
        <v>32.020000000000003</v>
      </c>
      <c r="H315">
        <v>3.202E-2</v>
      </c>
      <c r="L315" s="37">
        <f>IF(H315&gt;30,QUOTIENT(H315,30)*VLOOKUP(D315,'报价表-配送'!$B$2:$I$6,8,0),0)+IF(AND(MOD(H315,30)&gt;18,MOD(H315,30)&lt;=30),1,0)*VLOOKUP(D315,'报价表-配送'!$B$2:$I$6,8,0)+IF(AND(MOD(H315,30)&gt;8,MOD(H315,30)&lt;=18),1*VLOOKUP(D315,'报价表-配送'!$B$2:$I$6,7,0),0)+IF(AND(MOD(H315,30)&lt;=8,MOD(H315,30)&gt;2.5),1,0)*VLOOKUP(D315,'报价表-配送'!$B$2:$I$6,6,0)+IF(AND(MOD(H315,30)&lt;=2.5,MOD(H315,30)&gt;=1.5),1,0)*VLOOKUP(D315,'报价表-配送'!$B$2:$I$6,5,0)</f>
        <v>0</v>
      </c>
      <c r="M315" s="39">
        <f>IF(AND(MOD(H315,30)&lt;1.5,MOD(H315,30)&gt;=0.5),H315,0)*VLOOKUP(D315,'报价表-配送'!$B$2:$I$6,4,0)*1000+IF(AND(MOD(H315,30)&lt;0.5,MOD(H315,30)&gt;=0.02),H315,0)*VLOOKUP(D315,'报价表-配送'!$B$2:$I$6,3,0)*1000+IF(AND(MOD(H315,30)&lt;0.02),H315,0)*VLOOKUP(D315,'报价表-配送'!$B$2:$I$6,2,0)*1000</f>
        <v>0</v>
      </c>
      <c r="N315" s="38">
        <f t="shared" si="4"/>
        <v>0</v>
      </c>
    </row>
    <row r="316" spans="1:14" x14ac:dyDescent="0.25">
      <c r="A316" s="1" t="s">
        <v>99</v>
      </c>
      <c r="B316" t="s">
        <v>179</v>
      </c>
      <c r="C316" s="62">
        <f>VLOOKUP(B316,合并仓明细!$D$2:$F$74,3,0)</f>
        <v>189</v>
      </c>
      <c r="D316" t="s">
        <v>413</v>
      </c>
      <c r="E316" t="s">
        <v>288</v>
      </c>
      <c r="F316" t="s">
        <v>66</v>
      </c>
      <c r="G316">
        <v>724.8</v>
      </c>
      <c r="H316">
        <v>0.7248</v>
      </c>
      <c r="L316" s="37">
        <f>IF(H316&gt;30,QUOTIENT(H316,30)*VLOOKUP(D316,'报价表-配送'!$B$2:$I$6,8,0),0)+IF(AND(MOD(H316,30)&gt;18,MOD(H316,30)&lt;=30),1,0)*VLOOKUP(D316,'报价表-配送'!$B$2:$I$6,8,0)+IF(AND(MOD(H316,30)&gt;8,MOD(H316,30)&lt;=18),1*VLOOKUP(D316,'报价表-配送'!$B$2:$I$6,7,0),0)+IF(AND(MOD(H316,30)&lt;=8,MOD(H316,30)&gt;2.5),1,0)*VLOOKUP(D316,'报价表-配送'!$B$2:$I$6,6,0)+IF(AND(MOD(H316,30)&lt;=2.5,MOD(H316,30)&gt;=1.5),1,0)*VLOOKUP(D316,'报价表-配送'!$B$2:$I$6,5,0)</f>
        <v>0</v>
      </c>
      <c r="M316" s="39">
        <f>IF(AND(MOD(H316,30)&lt;1.5,MOD(H316,30)&gt;=0.5),H316,0)*VLOOKUP(D316,'报价表-配送'!$B$2:$I$6,4,0)*1000+IF(AND(MOD(H316,30)&lt;0.5,MOD(H316,30)&gt;=0.02),H316,0)*VLOOKUP(D316,'报价表-配送'!$B$2:$I$6,3,0)*1000+IF(AND(MOD(H316,30)&lt;0.02),H316,0)*VLOOKUP(D316,'报价表-配送'!$B$2:$I$6,2,0)*1000</f>
        <v>0</v>
      </c>
      <c r="N316" s="38">
        <f t="shared" si="4"/>
        <v>0</v>
      </c>
    </row>
    <row r="317" spans="1:14" x14ac:dyDescent="0.25">
      <c r="A317" s="1" t="s">
        <v>99</v>
      </c>
      <c r="B317" t="s">
        <v>179</v>
      </c>
      <c r="C317" s="62">
        <f>VLOOKUP(B317,合并仓明细!$D$2:$F$74,3,0)</f>
        <v>189</v>
      </c>
      <c r="D317" t="s">
        <v>413</v>
      </c>
      <c r="E317" t="s">
        <v>372</v>
      </c>
      <c r="F317" t="s">
        <v>68</v>
      </c>
      <c r="G317">
        <v>1474.85</v>
      </c>
      <c r="H317">
        <v>3.1498300000000001</v>
      </c>
      <c r="I317" s="46">
        <f>ROUNDUP(H317/30,0)*VLOOKUP(D317,'报价表-配送'!$B$2:$I$6,8,0)</f>
        <v>0</v>
      </c>
      <c r="N317" s="38">
        <f t="shared" si="4"/>
        <v>0</v>
      </c>
    </row>
    <row r="318" spans="1:14" x14ac:dyDescent="0.25">
      <c r="A318" s="1" t="s">
        <v>99</v>
      </c>
      <c r="B318" t="s">
        <v>179</v>
      </c>
      <c r="C318" s="62">
        <f>VLOOKUP(B318,合并仓明细!$D$2:$F$74,3,0)</f>
        <v>189</v>
      </c>
      <c r="D318" t="s">
        <v>413</v>
      </c>
      <c r="E318" t="s">
        <v>372</v>
      </c>
      <c r="F318" t="s">
        <v>66</v>
      </c>
      <c r="G318">
        <v>1674.9799999999998</v>
      </c>
      <c r="H318"/>
      <c r="N318" s="38">
        <f t="shared" si="4"/>
        <v>0</v>
      </c>
    </row>
    <row r="319" spans="1:14" x14ac:dyDescent="0.25">
      <c r="A319" s="1" t="s">
        <v>99</v>
      </c>
      <c r="B319" t="s">
        <v>179</v>
      </c>
      <c r="C319" s="62">
        <f>VLOOKUP(B319,合并仓明细!$D$2:$F$74,3,0)</f>
        <v>189</v>
      </c>
      <c r="D319" t="s">
        <v>413</v>
      </c>
      <c r="E319" t="s">
        <v>289</v>
      </c>
      <c r="F319" t="s">
        <v>66</v>
      </c>
      <c r="G319">
        <v>68.680000000000007</v>
      </c>
      <c r="H319">
        <v>6.8680000000000005E-2</v>
      </c>
      <c r="L319" s="37">
        <f>IF(H319&gt;30,QUOTIENT(H319,30)*VLOOKUP(D319,'报价表-配送'!$B$2:$I$6,8,0),0)+IF(AND(MOD(H319,30)&gt;18,MOD(H319,30)&lt;=30),1,0)*VLOOKUP(D319,'报价表-配送'!$B$2:$I$6,8,0)+IF(AND(MOD(H319,30)&gt;8,MOD(H319,30)&lt;=18),1*VLOOKUP(D319,'报价表-配送'!$B$2:$I$6,7,0),0)+IF(AND(MOD(H319,30)&lt;=8,MOD(H319,30)&gt;2.5),1,0)*VLOOKUP(D319,'报价表-配送'!$B$2:$I$6,6,0)+IF(AND(MOD(H319,30)&lt;=2.5,MOD(H319,30)&gt;=1.5),1,0)*VLOOKUP(D319,'报价表-配送'!$B$2:$I$6,5,0)</f>
        <v>0</v>
      </c>
      <c r="M319" s="39">
        <f>IF(AND(MOD(H319,30)&lt;1.5,MOD(H319,30)&gt;=0.5),H319,0)*VLOOKUP(D319,'报价表-配送'!$B$2:$I$6,4,0)*1000+IF(AND(MOD(H319,30)&lt;0.5,MOD(H319,30)&gt;=0.02),H319,0)*VLOOKUP(D319,'报价表-配送'!$B$2:$I$6,3,0)*1000+IF(AND(MOD(H319,30)&lt;0.02),H319,0)*VLOOKUP(D319,'报价表-配送'!$B$2:$I$6,2,0)*1000</f>
        <v>0</v>
      </c>
      <c r="N319" s="38">
        <f t="shared" si="4"/>
        <v>0</v>
      </c>
    </row>
    <row r="320" spans="1:14" x14ac:dyDescent="0.25">
      <c r="A320" s="1" t="s">
        <v>99</v>
      </c>
      <c r="B320" t="s">
        <v>179</v>
      </c>
      <c r="C320" s="62">
        <f>VLOOKUP(B320,合并仓明细!$D$2:$F$74,3,0)</f>
        <v>189</v>
      </c>
      <c r="D320" t="s">
        <v>413</v>
      </c>
      <c r="E320" t="s">
        <v>340</v>
      </c>
      <c r="F320" t="s">
        <v>66</v>
      </c>
      <c r="G320">
        <v>1490.7699999999998</v>
      </c>
      <c r="H320">
        <v>1.4907699999999997</v>
      </c>
      <c r="L320" s="37">
        <f>IF(H320&gt;30,QUOTIENT(H320,30)*VLOOKUP(D320,'报价表-配送'!$B$2:$I$6,8,0),0)+IF(AND(MOD(H320,30)&gt;18,MOD(H320,30)&lt;=30),1,0)*VLOOKUP(D320,'报价表-配送'!$B$2:$I$6,8,0)+IF(AND(MOD(H320,30)&gt;8,MOD(H320,30)&lt;=18),1*VLOOKUP(D320,'报价表-配送'!$B$2:$I$6,7,0),0)+IF(AND(MOD(H320,30)&lt;=8,MOD(H320,30)&gt;2.5),1,0)*VLOOKUP(D320,'报价表-配送'!$B$2:$I$6,6,0)+IF(AND(MOD(H320,30)&lt;=2.5,MOD(H320,30)&gt;=1.5),1,0)*VLOOKUP(D320,'报价表-配送'!$B$2:$I$6,5,0)</f>
        <v>0</v>
      </c>
      <c r="M320" s="39">
        <f>IF(AND(MOD(H320,30)&lt;1.5,MOD(H320,30)&gt;=0.5),H320,0)*VLOOKUP(D320,'报价表-配送'!$B$2:$I$6,4,0)*1000+IF(AND(MOD(H320,30)&lt;0.5,MOD(H320,30)&gt;=0.02),H320,0)*VLOOKUP(D320,'报价表-配送'!$B$2:$I$6,3,0)*1000+IF(AND(MOD(H320,30)&lt;0.02),H320,0)*VLOOKUP(D320,'报价表-配送'!$B$2:$I$6,2,0)*1000</f>
        <v>0</v>
      </c>
      <c r="N320" s="38">
        <f t="shared" si="4"/>
        <v>0</v>
      </c>
    </row>
    <row r="321" spans="1:14" x14ac:dyDescent="0.25">
      <c r="A321" s="1" t="s">
        <v>99</v>
      </c>
      <c r="B321" t="s">
        <v>179</v>
      </c>
      <c r="C321" s="62">
        <f>VLOOKUP(B321,合并仓明细!$D$2:$F$74,3,0)</f>
        <v>189</v>
      </c>
      <c r="D321" t="s">
        <v>413</v>
      </c>
      <c r="E321" t="s">
        <v>316</v>
      </c>
      <c r="F321" t="s">
        <v>67</v>
      </c>
      <c r="G321">
        <v>33838.910000000003</v>
      </c>
      <c r="H321">
        <v>35.073230000000002</v>
      </c>
      <c r="I321" s="38">
        <f>IF(H321&gt;30,QUOTIENT(H321,30)*VLOOKUP(D321,'报价表-配送'!$B$2:$I$6,8,0),0)+IF(AND(MOD(H321,30)&gt;18,MOD(H321,30)&lt;=30),1,0)*VLOOKUP(D321,'报价表-配送'!$B$2:$I$6,8,0)</f>
        <v>0</v>
      </c>
      <c r="J321" s="38">
        <f>IF(AND(MOD(H321,30)&gt;8,MOD(H321,30)&lt;=18),1*VLOOKUP(D321,'报价表-配送'!$B$2:$I$6,7,0),0)</f>
        <v>0</v>
      </c>
      <c r="K321" s="38">
        <f>IF(AND(MOD(H321,30)&lt;=8,MOD(H321,30)&gt;0),1,0)*VLOOKUP(D321,'报价表-配送'!$B$2:$I$6,6,0)</f>
        <v>0</v>
      </c>
      <c r="N321" s="38">
        <f t="shared" si="4"/>
        <v>0</v>
      </c>
    </row>
    <row r="322" spans="1:14" x14ac:dyDescent="0.25">
      <c r="A322" s="1" t="s">
        <v>99</v>
      </c>
      <c r="B322" t="s">
        <v>179</v>
      </c>
      <c r="C322" s="62">
        <f>VLOOKUP(B322,合并仓明细!$D$2:$F$74,3,0)</f>
        <v>189</v>
      </c>
      <c r="D322" t="s">
        <v>413</v>
      </c>
      <c r="E322" t="s">
        <v>316</v>
      </c>
      <c r="F322" t="s">
        <v>66</v>
      </c>
      <c r="G322">
        <v>1234.3200000000002</v>
      </c>
      <c r="H322"/>
      <c r="N322" s="38">
        <f t="shared" si="4"/>
        <v>0</v>
      </c>
    </row>
    <row r="323" spans="1:14" x14ac:dyDescent="0.25">
      <c r="A323" s="1" t="s">
        <v>99</v>
      </c>
      <c r="B323" t="s">
        <v>179</v>
      </c>
      <c r="C323" s="62">
        <f>VLOOKUP(B323,合并仓明细!$D$2:$F$74,3,0)</f>
        <v>189</v>
      </c>
      <c r="D323" t="s">
        <v>413</v>
      </c>
      <c r="E323" t="s">
        <v>248</v>
      </c>
      <c r="F323" t="s">
        <v>68</v>
      </c>
      <c r="G323">
        <v>3289.35</v>
      </c>
      <c r="H323">
        <v>3.2893499999999998</v>
      </c>
      <c r="I323" s="46">
        <f>ROUNDUP(H323/30,0)*VLOOKUP(D323,'报价表-配送'!$B$2:$I$6,8,0)</f>
        <v>0</v>
      </c>
      <c r="N323" s="38">
        <f t="shared" si="4"/>
        <v>0</v>
      </c>
    </row>
    <row r="324" spans="1:14" x14ac:dyDescent="0.25">
      <c r="A324" s="1" t="s">
        <v>99</v>
      </c>
      <c r="B324" t="s">
        <v>179</v>
      </c>
      <c r="C324" s="62">
        <f>VLOOKUP(B324,合并仓明细!$D$2:$F$74,3,0)</f>
        <v>189</v>
      </c>
      <c r="D324" t="s">
        <v>413</v>
      </c>
      <c r="E324" t="s">
        <v>359</v>
      </c>
      <c r="F324" t="s">
        <v>66</v>
      </c>
      <c r="G324">
        <v>4.5</v>
      </c>
      <c r="H324">
        <v>4.4999999999999997E-3</v>
      </c>
      <c r="L324" s="37">
        <f>IF(H324&gt;30,QUOTIENT(H324,30)*VLOOKUP(D324,'报价表-配送'!$B$2:$I$6,8,0),0)+IF(AND(MOD(H324,30)&gt;18,MOD(H324,30)&lt;=30),1,0)*VLOOKUP(D324,'报价表-配送'!$B$2:$I$6,8,0)+IF(AND(MOD(H324,30)&gt;8,MOD(H324,30)&lt;=18),1*VLOOKUP(D324,'报价表-配送'!$B$2:$I$6,7,0),0)+IF(AND(MOD(H324,30)&lt;=8,MOD(H324,30)&gt;2.5),1,0)*VLOOKUP(D324,'报价表-配送'!$B$2:$I$6,6,0)+IF(AND(MOD(H324,30)&lt;=2.5,MOD(H324,30)&gt;=1.5),1,0)*VLOOKUP(D324,'报价表-配送'!$B$2:$I$6,5,0)</f>
        <v>0</v>
      </c>
      <c r="M324" s="39">
        <f>IF(AND(MOD(H324,30)&lt;1.5,MOD(H324,30)&gt;=0.5),H324,0)*VLOOKUP(D324,'报价表-配送'!$B$2:$I$6,4,0)*1000+IF(AND(MOD(H324,30)&lt;0.5,MOD(H324,30)&gt;=0.02),H324,0)*VLOOKUP(D324,'报价表-配送'!$B$2:$I$6,3,0)*1000+IF(AND(MOD(H324,30)&lt;0.02),H324,0)*VLOOKUP(D324,'报价表-配送'!$B$2:$I$6,2,0)*1000</f>
        <v>0</v>
      </c>
      <c r="N324" s="38">
        <f t="shared" si="4"/>
        <v>0</v>
      </c>
    </row>
    <row r="325" spans="1:14" x14ac:dyDescent="0.25">
      <c r="A325" s="1" t="s">
        <v>99</v>
      </c>
      <c r="B325" t="s">
        <v>179</v>
      </c>
      <c r="C325" s="62">
        <f>VLOOKUP(B325,合并仓明细!$D$2:$F$74,3,0)</f>
        <v>189</v>
      </c>
      <c r="D325" t="s">
        <v>413</v>
      </c>
      <c r="E325" t="s">
        <v>293</v>
      </c>
      <c r="F325" t="s">
        <v>66</v>
      </c>
      <c r="G325">
        <v>1523.93</v>
      </c>
      <c r="H325">
        <v>1.52393</v>
      </c>
      <c r="L325" s="37">
        <f>IF(H325&gt;30,QUOTIENT(H325,30)*VLOOKUP(D325,'报价表-配送'!$B$2:$I$6,8,0),0)+IF(AND(MOD(H325,30)&gt;18,MOD(H325,30)&lt;=30),1,0)*VLOOKUP(D325,'报价表-配送'!$B$2:$I$6,8,0)+IF(AND(MOD(H325,30)&gt;8,MOD(H325,30)&lt;=18),1*VLOOKUP(D325,'报价表-配送'!$B$2:$I$6,7,0),0)+IF(AND(MOD(H325,30)&lt;=8,MOD(H325,30)&gt;2.5),1,0)*VLOOKUP(D325,'报价表-配送'!$B$2:$I$6,6,0)+IF(AND(MOD(H325,30)&lt;=2.5,MOD(H325,30)&gt;=1.5),1,0)*VLOOKUP(D325,'报价表-配送'!$B$2:$I$6,5,0)</f>
        <v>0</v>
      </c>
      <c r="M325" s="39">
        <f>IF(AND(MOD(H325,30)&lt;1.5,MOD(H325,30)&gt;=0.5),H325,0)*VLOOKUP(D325,'报价表-配送'!$B$2:$I$6,4,0)*1000+IF(AND(MOD(H325,30)&lt;0.5,MOD(H325,30)&gt;=0.02),H325,0)*VLOOKUP(D325,'报价表-配送'!$B$2:$I$6,3,0)*1000+IF(AND(MOD(H325,30)&lt;0.02),H325,0)*VLOOKUP(D325,'报价表-配送'!$B$2:$I$6,2,0)*1000</f>
        <v>0</v>
      </c>
      <c r="N325" s="38">
        <f t="shared" si="4"/>
        <v>0</v>
      </c>
    </row>
    <row r="326" spans="1:14" x14ac:dyDescent="0.25">
      <c r="A326" s="1" t="s">
        <v>99</v>
      </c>
      <c r="B326" t="s">
        <v>179</v>
      </c>
      <c r="C326" s="62">
        <f>VLOOKUP(B326,合并仓明细!$D$2:$F$74,3,0)</f>
        <v>189</v>
      </c>
      <c r="D326" t="s">
        <v>413</v>
      </c>
      <c r="E326" t="s">
        <v>342</v>
      </c>
      <c r="F326" t="s">
        <v>66</v>
      </c>
      <c r="G326">
        <v>39.799999999999997</v>
      </c>
      <c r="H326">
        <v>3.9799999999999995E-2</v>
      </c>
      <c r="L326" s="37">
        <f>IF(H326&gt;30,QUOTIENT(H326,30)*VLOOKUP(D326,'报价表-配送'!$B$2:$I$6,8,0),0)+IF(AND(MOD(H326,30)&gt;18,MOD(H326,30)&lt;=30),1,0)*VLOOKUP(D326,'报价表-配送'!$B$2:$I$6,8,0)+IF(AND(MOD(H326,30)&gt;8,MOD(H326,30)&lt;=18),1*VLOOKUP(D326,'报价表-配送'!$B$2:$I$6,7,0),0)+IF(AND(MOD(H326,30)&lt;=8,MOD(H326,30)&gt;2.5),1,0)*VLOOKUP(D326,'报价表-配送'!$B$2:$I$6,6,0)+IF(AND(MOD(H326,30)&lt;=2.5,MOD(H326,30)&gt;=1.5),1,0)*VLOOKUP(D326,'报价表-配送'!$B$2:$I$6,5,0)</f>
        <v>0</v>
      </c>
      <c r="M326" s="39">
        <f>IF(AND(MOD(H326,30)&lt;1.5,MOD(H326,30)&gt;=0.5),H326,0)*VLOOKUP(D326,'报价表-配送'!$B$2:$I$6,4,0)*1000+IF(AND(MOD(H326,30)&lt;0.5,MOD(H326,30)&gt;=0.02),H326,0)*VLOOKUP(D326,'报价表-配送'!$B$2:$I$6,3,0)*1000+IF(AND(MOD(H326,30)&lt;0.02),H326,0)*VLOOKUP(D326,'报价表-配送'!$B$2:$I$6,2,0)*1000</f>
        <v>0</v>
      </c>
      <c r="N326" s="38">
        <f t="shared" si="4"/>
        <v>0</v>
      </c>
    </row>
    <row r="327" spans="1:14" x14ac:dyDescent="0.25">
      <c r="A327" s="1" t="s">
        <v>99</v>
      </c>
      <c r="B327" t="s">
        <v>179</v>
      </c>
      <c r="C327" s="62">
        <f>VLOOKUP(B327,合并仓明细!$D$2:$F$74,3,0)</f>
        <v>189</v>
      </c>
      <c r="D327" t="s">
        <v>413</v>
      </c>
      <c r="E327" t="s">
        <v>295</v>
      </c>
      <c r="F327" t="s">
        <v>66</v>
      </c>
      <c r="G327">
        <v>6.34</v>
      </c>
      <c r="H327">
        <v>6.3400000000000001E-3</v>
      </c>
      <c r="L327" s="37">
        <f>IF(H327&gt;30,QUOTIENT(H327,30)*VLOOKUP(D327,'报价表-配送'!$B$2:$I$6,8,0),0)+IF(AND(MOD(H327,30)&gt;18,MOD(H327,30)&lt;=30),1,0)*VLOOKUP(D327,'报价表-配送'!$B$2:$I$6,8,0)+IF(AND(MOD(H327,30)&gt;8,MOD(H327,30)&lt;=18),1*VLOOKUP(D327,'报价表-配送'!$B$2:$I$6,7,0),0)+IF(AND(MOD(H327,30)&lt;=8,MOD(H327,30)&gt;2.5),1,0)*VLOOKUP(D327,'报价表-配送'!$B$2:$I$6,6,0)+IF(AND(MOD(H327,30)&lt;=2.5,MOD(H327,30)&gt;=1.5),1,0)*VLOOKUP(D327,'报价表-配送'!$B$2:$I$6,5,0)</f>
        <v>0</v>
      </c>
      <c r="M327" s="39">
        <f>IF(AND(MOD(H327,30)&lt;1.5,MOD(H327,30)&gt;=0.5),H327,0)*VLOOKUP(D327,'报价表-配送'!$B$2:$I$6,4,0)*1000+IF(AND(MOD(H327,30)&lt;0.5,MOD(H327,30)&gt;=0.02),H327,0)*VLOOKUP(D327,'报价表-配送'!$B$2:$I$6,3,0)*1000+IF(AND(MOD(H327,30)&lt;0.02),H327,0)*VLOOKUP(D327,'报价表-配送'!$B$2:$I$6,2,0)*1000</f>
        <v>0</v>
      </c>
      <c r="N327" s="38">
        <f t="shared" si="4"/>
        <v>0</v>
      </c>
    </row>
    <row r="328" spans="1:14" x14ac:dyDescent="0.25">
      <c r="A328" s="1" t="s">
        <v>99</v>
      </c>
      <c r="B328" t="s">
        <v>179</v>
      </c>
      <c r="C328" s="62">
        <f>VLOOKUP(B328,合并仓明细!$D$2:$F$74,3,0)</f>
        <v>189</v>
      </c>
      <c r="D328" t="s">
        <v>413</v>
      </c>
      <c r="E328" t="s">
        <v>317</v>
      </c>
      <c r="F328" t="s">
        <v>66</v>
      </c>
      <c r="G328">
        <v>625.29</v>
      </c>
      <c r="H328">
        <v>0.62529000000000001</v>
      </c>
      <c r="L328" s="37">
        <f>IF(H328&gt;30,QUOTIENT(H328,30)*VLOOKUP(D328,'报价表-配送'!$B$2:$I$6,8,0),0)+IF(AND(MOD(H328,30)&gt;18,MOD(H328,30)&lt;=30),1,0)*VLOOKUP(D328,'报价表-配送'!$B$2:$I$6,8,0)+IF(AND(MOD(H328,30)&gt;8,MOD(H328,30)&lt;=18),1*VLOOKUP(D328,'报价表-配送'!$B$2:$I$6,7,0),0)+IF(AND(MOD(H328,30)&lt;=8,MOD(H328,30)&gt;2.5),1,0)*VLOOKUP(D328,'报价表-配送'!$B$2:$I$6,6,0)+IF(AND(MOD(H328,30)&lt;=2.5,MOD(H328,30)&gt;=1.5),1,0)*VLOOKUP(D328,'报价表-配送'!$B$2:$I$6,5,0)</f>
        <v>0</v>
      </c>
      <c r="M328" s="39">
        <f>IF(AND(MOD(H328,30)&lt;1.5,MOD(H328,30)&gt;=0.5),H328,0)*VLOOKUP(D328,'报价表-配送'!$B$2:$I$6,4,0)*1000+IF(AND(MOD(H328,30)&lt;0.5,MOD(H328,30)&gt;=0.02),H328,0)*VLOOKUP(D328,'报价表-配送'!$B$2:$I$6,3,0)*1000+IF(AND(MOD(H328,30)&lt;0.02),H328,0)*VLOOKUP(D328,'报价表-配送'!$B$2:$I$6,2,0)*1000</f>
        <v>0</v>
      </c>
      <c r="N328" s="38">
        <f t="shared" si="4"/>
        <v>0</v>
      </c>
    </row>
    <row r="329" spans="1:14" x14ac:dyDescent="0.25">
      <c r="A329" s="1" t="s">
        <v>99</v>
      </c>
      <c r="B329" t="s">
        <v>179</v>
      </c>
      <c r="C329" s="62">
        <f>VLOOKUP(B329,合并仓明细!$D$2:$F$74,3,0)</f>
        <v>189</v>
      </c>
      <c r="D329" t="s">
        <v>413</v>
      </c>
      <c r="E329" t="s">
        <v>357</v>
      </c>
      <c r="F329" t="s">
        <v>66</v>
      </c>
      <c r="G329">
        <v>4.88</v>
      </c>
      <c r="H329">
        <v>4.8799999999999998E-3</v>
      </c>
      <c r="L329" s="37">
        <f>IF(H329&gt;30,QUOTIENT(H329,30)*VLOOKUP(D329,'报价表-配送'!$B$2:$I$6,8,0),0)+IF(AND(MOD(H329,30)&gt;18,MOD(H329,30)&lt;=30),1,0)*VLOOKUP(D329,'报价表-配送'!$B$2:$I$6,8,0)+IF(AND(MOD(H329,30)&gt;8,MOD(H329,30)&lt;=18),1*VLOOKUP(D329,'报价表-配送'!$B$2:$I$6,7,0),0)+IF(AND(MOD(H329,30)&lt;=8,MOD(H329,30)&gt;2.5),1,0)*VLOOKUP(D329,'报价表-配送'!$B$2:$I$6,6,0)+IF(AND(MOD(H329,30)&lt;=2.5,MOD(H329,30)&gt;=1.5),1,0)*VLOOKUP(D329,'报价表-配送'!$B$2:$I$6,5,0)</f>
        <v>0</v>
      </c>
      <c r="M329" s="39">
        <f>IF(AND(MOD(H329,30)&lt;1.5,MOD(H329,30)&gt;=0.5),H329,0)*VLOOKUP(D329,'报价表-配送'!$B$2:$I$6,4,0)*1000+IF(AND(MOD(H329,30)&lt;0.5,MOD(H329,30)&gt;=0.02),H329,0)*VLOOKUP(D329,'报价表-配送'!$B$2:$I$6,3,0)*1000+IF(AND(MOD(H329,30)&lt;0.02),H329,0)*VLOOKUP(D329,'报价表-配送'!$B$2:$I$6,2,0)*1000</f>
        <v>0</v>
      </c>
      <c r="N329" s="38">
        <f t="shared" si="4"/>
        <v>0</v>
      </c>
    </row>
    <row r="330" spans="1:14" x14ac:dyDescent="0.25">
      <c r="A330" s="1" t="s">
        <v>99</v>
      </c>
      <c r="B330" t="s">
        <v>179</v>
      </c>
      <c r="C330" s="62">
        <f>VLOOKUP(B330,合并仓明细!$D$2:$F$74,3,0)</f>
        <v>189</v>
      </c>
      <c r="D330" t="s">
        <v>413</v>
      </c>
      <c r="E330" t="s">
        <v>300</v>
      </c>
      <c r="F330" t="s">
        <v>67</v>
      </c>
      <c r="G330">
        <v>15353.64</v>
      </c>
      <c r="H330" s="103">
        <v>15.86483</v>
      </c>
      <c r="I330" s="38">
        <f>IF(H330&gt;30,QUOTIENT(H330,30)*VLOOKUP(D330,'报价表-配送'!$B$2:$I$6,8,0),0)+IF(AND(MOD(H330,30)&gt;18,MOD(H330,30)&lt;=30),1,0)*VLOOKUP(D330,'报价表-配送'!$B$2:$I$6,8,0)</f>
        <v>0</v>
      </c>
      <c r="J330" s="38">
        <f>IF(AND(MOD(H330,30)&gt;8,MOD(H330,30)&lt;=18),1*VLOOKUP(D330,'报价表-配送'!$B$2:$I$6,7,0),0)</f>
        <v>0</v>
      </c>
      <c r="K330" s="38">
        <f>IF(AND(MOD(H330,30)&lt;=8,MOD(H330,30)&gt;0),1,0)*VLOOKUP(D330,'报价表-配送'!$B$2:$I$6,6,0)</f>
        <v>0</v>
      </c>
      <c r="N330" s="38">
        <f t="shared" si="4"/>
        <v>0</v>
      </c>
    </row>
    <row r="331" spans="1:14" x14ac:dyDescent="0.25">
      <c r="A331" s="1" t="s">
        <v>99</v>
      </c>
      <c r="B331" t="s">
        <v>179</v>
      </c>
      <c r="C331" s="62">
        <f>VLOOKUP(B331,合并仓明细!$D$2:$F$74,3,0)</f>
        <v>189</v>
      </c>
      <c r="D331" t="s">
        <v>413</v>
      </c>
      <c r="E331" t="s">
        <v>300</v>
      </c>
      <c r="F331" t="s">
        <v>66</v>
      </c>
      <c r="G331">
        <v>511.18999999999994</v>
      </c>
      <c r="H331"/>
      <c r="N331" s="38">
        <f t="shared" si="4"/>
        <v>0</v>
      </c>
    </row>
    <row r="332" spans="1:14" x14ac:dyDescent="0.25">
      <c r="A332" s="1" t="s">
        <v>99</v>
      </c>
      <c r="B332" t="s">
        <v>179</v>
      </c>
      <c r="C332" s="62">
        <f>VLOOKUP(B332,合并仓明细!$D$2:$F$74,3,0)</f>
        <v>189</v>
      </c>
      <c r="D332" t="s">
        <v>413</v>
      </c>
      <c r="E332" t="s">
        <v>301</v>
      </c>
      <c r="F332" t="s">
        <v>67</v>
      </c>
      <c r="G332">
        <v>544.64</v>
      </c>
      <c r="H332">
        <v>0.54464000000000001</v>
      </c>
      <c r="I332" s="38">
        <f>IF(H332&gt;30,QUOTIENT(H332,30)*VLOOKUP(D332,'报价表-配送'!$B$2:$I$6,8,0),0)+IF(AND(MOD(H332,30)&gt;18,MOD(H332,30)&lt;=30),1,0)*VLOOKUP(D332,'报价表-配送'!$B$2:$I$6,8,0)</f>
        <v>0</v>
      </c>
      <c r="J332" s="38">
        <f>IF(AND(MOD(H332,30)&gt;8,MOD(H332,30)&lt;=18),1*VLOOKUP(D332,'报价表-配送'!$B$2:$I$6,7,0),0)</f>
        <v>0</v>
      </c>
      <c r="K332" s="38">
        <f>IF(AND(MOD(H332,30)&lt;=8,MOD(H332,30)&gt;0),1,0)*VLOOKUP(D332,'报价表-配送'!$B$2:$I$6,6,0)</f>
        <v>0</v>
      </c>
      <c r="N332" s="38">
        <f t="shared" ref="N332:N395" si="5">SUM(I332:M332)</f>
        <v>0</v>
      </c>
    </row>
    <row r="333" spans="1:14" x14ac:dyDescent="0.25">
      <c r="A333" s="1" t="s">
        <v>99</v>
      </c>
      <c r="B333" t="s">
        <v>179</v>
      </c>
      <c r="C333" s="62">
        <f>VLOOKUP(B333,合并仓明细!$D$2:$F$74,3,0)</f>
        <v>189</v>
      </c>
      <c r="D333" t="s">
        <v>413</v>
      </c>
      <c r="E333" t="s">
        <v>355</v>
      </c>
      <c r="F333" t="s">
        <v>66</v>
      </c>
      <c r="G333">
        <v>13.66</v>
      </c>
      <c r="H333">
        <v>1.366E-2</v>
      </c>
      <c r="L333" s="37">
        <f>IF(H333&gt;30,QUOTIENT(H333,30)*VLOOKUP(D333,'报价表-配送'!$B$2:$I$6,8,0),0)+IF(AND(MOD(H333,30)&gt;18,MOD(H333,30)&lt;=30),1,0)*VLOOKUP(D333,'报价表-配送'!$B$2:$I$6,8,0)+IF(AND(MOD(H333,30)&gt;8,MOD(H333,30)&lt;=18),1*VLOOKUP(D333,'报价表-配送'!$B$2:$I$6,7,0),0)+IF(AND(MOD(H333,30)&lt;=8,MOD(H333,30)&gt;2.5),1,0)*VLOOKUP(D333,'报价表-配送'!$B$2:$I$6,6,0)+IF(AND(MOD(H333,30)&lt;=2.5,MOD(H333,30)&gt;=1.5),1,0)*VLOOKUP(D333,'报价表-配送'!$B$2:$I$6,5,0)</f>
        <v>0</v>
      </c>
      <c r="M333" s="39">
        <f>IF(AND(MOD(H333,30)&lt;1.5,MOD(H333,30)&gt;=0.5),H333,0)*VLOOKUP(D333,'报价表-配送'!$B$2:$I$6,4,0)*1000+IF(AND(MOD(H333,30)&lt;0.5,MOD(H333,30)&gt;=0.02),H333,0)*VLOOKUP(D333,'报价表-配送'!$B$2:$I$6,3,0)*1000+IF(AND(MOD(H333,30)&lt;0.02),H333,0)*VLOOKUP(D333,'报价表-配送'!$B$2:$I$6,2,0)*1000</f>
        <v>0</v>
      </c>
      <c r="N333" s="38">
        <f t="shared" si="5"/>
        <v>0</v>
      </c>
    </row>
    <row r="334" spans="1:14" x14ac:dyDescent="0.25">
      <c r="A334" s="1" t="s">
        <v>99</v>
      </c>
      <c r="B334" t="s">
        <v>179</v>
      </c>
      <c r="C334" s="62">
        <f>VLOOKUP(B334,合并仓明细!$D$2:$F$74,3,0)</f>
        <v>189</v>
      </c>
      <c r="D334" t="s">
        <v>413</v>
      </c>
      <c r="E334" t="s">
        <v>332</v>
      </c>
      <c r="F334" t="s">
        <v>66</v>
      </c>
      <c r="G334">
        <v>92.199999999999989</v>
      </c>
      <c r="H334">
        <v>9.219999999999999E-2</v>
      </c>
      <c r="L334" s="37">
        <f>IF(H334&gt;30,QUOTIENT(H334,30)*VLOOKUP(D334,'报价表-配送'!$B$2:$I$6,8,0),0)+IF(AND(MOD(H334,30)&gt;18,MOD(H334,30)&lt;=30),1,0)*VLOOKUP(D334,'报价表-配送'!$B$2:$I$6,8,0)+IF(AND(MOD(H334,30)&gt;8,MOD(H334,30)&lt;=18),1*VLOOKUP(D334,'报价表-配送'!$B$2:$I$6,7,0),0)+IF(AND(MOD(H334,30)&lt;=8,MOD(H334,30)&gt;2.5),1,0)*VLOOKUP(D334,'报价表-配送'!$B$2:$I$6,6,0)+IF(AND(MOD(H334,30)&lt;=2.5,MOD(H334,30)&gt;=1.5),1,0)*VLOOKUP(D334,'报价表-配送'!$B$2:$I$6,5,0)</f>
        <v>0</v>
      </c>
      <c r="M334" s="39">
        <f>IF(AND(MOD(H334,30)&lt;1.5,MOD(H334,30)&gt;=0.5),H334,0)*VLOOKUP(D334,'报价表-配送'!$B$2:$I$6,4,0)*1000+IF(AND(MOD(H334,30)&lt;0.5,MOD(H334,30)&gt;=0.02),H334,0)*VLOOKUP(D334,'报价表-配送'!$B$2:$I$6,3,0)*1000+IF(AND(MOD(H334,30)&lt;0.02),H334,0)*VLOOKUP(D334,'报价表-配送'!$B$2:$I$6,2,0)*1000</f>
        <v>0</v>
      </c>
      <c r="N334" s="38">
        <f t="shared" si="5"/>
        <v>0</v>
      </c>
    </row>
    <row r="335" spans="1:14" x14ac:dyDescent="0.25">
      <c r="A335" s="1" t="s">
        <v>99</v>
      </c>
      <c r="B335" t="s">
        <v>102</v>
      </c>
      <c r="C335" s="62">
        <f>VLOOKUP(B335,合并仓明细!$D$2:$F$74,3,0)</f>
        <v>76</v>
      </c>
      <c r="D335" t="s">
        <v>393</v>
      </c>
      <c r="E335" t="s">
        <v>260</v>
      </c>
      <c r="F335" t="s">
        <v>68</v>
      </c>
      <c r="G335">
        <v>3223.5904799999998</v>
      </c>
      <c r="H335">
        <v>8.02545263813</v>
      </c>
      <c r="I335" s="46">
        <f>ROUNDUP(H335/30,0)*VLOOKUP(D335,'报价表-配送'!$B$2:$I$6,8,0)</f>
        <v>0</v>
      </c>
      <c r="N335" s="38">
        <f t="shared" si="5"/>
        <v>0</v>
      </c>
    </row>
    <row r="336" spans="1:14" x14ac:dyDescent="0.25">
      <c r="A336" s="1" t="s">
        <v>99</v>
      </c>
      <c r="B336" t="s">
        <v>102</v>
      </c>
      <c r="C336" s="62">
        <f>VLOOKUP(B336,合并仓明细!$D$2:$F$74,3,0)</f>
        <v>76</v>
      </c>
      <c r="D336" t="s">
        <v>393</v>
      </c>
      <c r="E336" t="s">
        <v>260</v>
      </c>
      <c r="F336" t="s">
        <v>67</v>
      </c>
      <c r="G336">
        <v>3205.35</v>
      </c>
      <c r="H336"/>
      <c r="I336" s="38"/>
      <c r="J336" s="38"/>
      <c r="K336" s="38"/>
      <c r="L336" s="37"/>
      <c r="M336" s="37"/>
      <c r="N336" s="38">
        <f t="shared" si="5"/>
        <v>0</v>
      </c>
    </row>
    <row r="337" spans="1:14" x14ac:dyDescent="0.25">
      <c r="A337" s="1" t="s">
        <v>99</v>
      </c>
      <c r="B337" t="s">
        <v>102</v>
      </c>
      <c r="C337" s="62">
        <f>VLOOKUP(B337,合并仓明细!$D$2:$F$74,3,0)</f>
        <v>76</v>
      </c>
      <c r="D337" t="s">
        <v>393</v>
      </c>
      <c r="E337" t="s">
        <v>260</v>
      </c>
      <c r="F337" t="s">
        <v>66</v>
      </c>
      <c r="G337">
        <v>1596.5121581300004</v>
      </c>
      <c r="H337"/>
      <c r="N337" s="38">
        <f t="shared" si="5"/>
        <v>0</v>
      </c>
    </row>
    <row r="338" spans="1:14" x14ac:dyDescent="0.25">
      <c r="A338" s="1" t="s">
        <v>99</v>
      </c>
      <c r="B338" t="s">
        <v>102</v>
      </c>
      <c r="C338" s="62">
        <f>VLOOKUP(B338,合并仓明细!$D$2:$F$74,3,0)</f>
        <v>76</v>
      </c>
      <c r="D338" t="s">
        <v>393</v>
      </c>
      <c r="E338" t="s">
        <v>256</v>
      </c>
      <c r="F338" t="s">
        <v>66</v>
      </c>
      <c r="G338">
        <v>1058.8798000000002</v>
      </c>
      <c r="H338">
        <v>1.0588798000000001</v>
      </c>
      <c r="I338" s="38"/>
      <c r="J338" s="38"/>
      <c r="K338" s="38"/>
      <c r="L338" s="37">
        <f>IF(H338&gt;30,QUOTIENT(H338,30)*VLOOKUP(D338,'报价表-配送'!$B$2:$I$6,8,0),0)+IF(AND(MOD(H338,30)&gt;18,MOD(H338,30)&lt;=30),1,0)*VLOOKUP(D338,'报价表-配送'!$B$2:$I$6,8,0)+IF(AND(MOD(H338,30)&gt;8,MOD(H338,30)&lt;=18),1*VLOOKUP(D338,'报价表-配送'!$B$2:$I$6,7,0),0)+IF(AND(MOD(H338,30)&lt;=8,MOD(H338,30)&gt;2.5),1,0)*VLOOKUP(D338,'报价表-配送'!$B$2:$I$6,6,0)+IF(AND(MOD(H338,30)&lt;=2.5,MOD(H338,30)&gt;=1.5),1,0)*VLOOKUP(D338,'报价表-配送'!$B$2:$I$6,5,0)</f>
        <v>0</v>
      </c>
      <c r="M338" s="39">
        <f>IF(AND(MOD(H338,30)&lt;1.5,MOD(H338,30)&gt;=0.5),H338,0)*VLOOKUP(D338,'报价表-配送'!$B$2:$I$6,4,0)*1000+IF(AND(MOD(H338,30)&lt;0.5,MOD(H338,30)&gt;=0.02),H338,0)*VLOOKUP(D338,'报价表-配送'!$B$2:$I$6,3,0)*1000+IF(AND(MOD(H338,30)&lt;0.02),H338,0)*VLOOKUP(D338,'报价表-配送'!$B$2:$I$6,2,0)*1000</f>
        <v>0</v>
      </c>
      <c r="N338" s="38">
        <f t="shared" si="5"/>
        <v>0</v>
      </c>
    </row>
    <row r="339" spans="1:14" x14ac:dyDescent="0.25">
      <c r="A339" s="1" t="s">
        <v>99</v>
      </c>
      <c r="B339" t="s">
        <v>102</v>
      </c>
      <c r="C339" s="62">
        <f>VLOOKUP(B339,合并仓明细!$D$2:$F$74,3,0)</f>
        <v>76</v>
      </c>
      <c r="D339" t="s">
        <v>393</v>
      </c>
      <c r="E339" t="s">
        <v>261</v>
      </c>
      <c r="F339" t="s">
        <v>68</v>
      </c>
      <c r="G339">
        <v>1309.2</v>
      </c>
      <c r="H339">
        <v>4.8218833339999998</v>
      </c>
      <c r="I339" s="46">
        <f>ROUNDUP(H339/30,0)*VLOOKUP(D339,'报价表-配送'!$B$2:$I$6,8,0)</f>
        <v>0</v>
      </c>
      <c r="N339" s="38">
        <f t="shared" si="5"/>
        <v>0</v>
      </c>
    </row>
    <row r="340" spans="1:14" x14ac:dyDescent="0.25">
      <c r="A340" s="1" t="s">
        <v>99</v>
      </c>
      <c r="B340" t="s">
        <v>102</v>
      </c>
      <c r="C340" s="62">
        <f>VLOOKUP(B340,合并仓明细!$D$2:$F$74,3,0)</f>
        <v>76</v>
      </c>
      <c r="D340" t="s">
        <v>393</v>
      </c>
      <c r="E340" t="s">
        <v>261</v>
      </c>
      <c r="F340" t="s">
        <v>66</v>
      </c>
      <c r="G340">
        <v>3512.6833339999998</v>
      </c>
      <c r="H340"/>
      <c r="N340" s="38">
        <f t="shared" si="5"/>
        <v>0</v>
      </c>
    </row>
    <row r="341" spans="1:14" x14ac:dyDescent="0.25">
      <c r="A341" s="1" t="s">
        <v>99</v>
      </c>
      <c r="B341" t="s">
        <v>102</v>
      </c>
      <c r="C341" s="62">
        <f>VLOOKUP(B341,合并仓明细!$D$2:$F$74,3,0)</f>
        <v>76</v>
      </c>
      <c r="D341" t="s">
        <v>393</v>
      </c>
      <c r="E341" t="s">
        <v>262</v>
      </c>
      <c r="F341" t="s">
        <v>67</v>
      </c>
      <c r="G341">
        <v>450.58337999999998</v>
      </c>
      <c r="H341">
        <v>2.8443979799999997</v>
      </c>
      <c r="I341" s="38">
        <f>IF(H341&gt;30,QUOTIENT(H341,30)*VLOOKUP(D341,'报价表-配送'!$B$2:$I$6,8,0),0)+IF(AND(MOD(H341,30)&gt;18,MOD(H341,30)&lt;=30),1,0)*VLOOKUP(D341,'报价表-配送'!$B$2:$I$6,8,0)</f>
        <v>0</v>
      </c>
      <c r="J341" s="38">
        <f>IF(AND(MOD(H341,30)&gt;8,MOD(H341,30)&lt;=18),1*VLOOKUP(D341,'报价表-配送'!$B$2:$I$6,7,0),0)</f>
        <v>0</v>
      </c>
      <c r="K341" s="38">
        <f>IF(AND(MOD(H341,30)&lt;=8,MOD(H341,30)&gt;0),1,0)*VLOOKUP(D341,'报价表-配送'!$B$2:$I$6,6,0)</f>
        <v>0</v>
      </c>
      <c r="N341" s="38">
        <f t="shared" si="5"/>
        <v>0</v>
      </c>
    </row>
    <row r="342" spans="1:14" x14ac:dyDescent="0.25">
      <c r="A342" s="1" t="s">
        <v>99</v>
      </c>
      <c r="B342" t="s">
        <v>102</v>
      </c>
      <c r="C342" s="62">
        <f>VLOOKUP(B342,合并仓明细!$D$2:$F$74,3,0)</f>
        <v>76</v>
      </c>
      <c r="D342" t="s">
        <v>393</v>
      </c>
      <c r="E342" t="s">
        <v>262</v>
      </c>
      <c r="F342" t="s">
        <v>66</v>
      </c>
      <c r="G342">
        <v>2393.8145999999997</v>
      </c>
      <c r="H342"/>
      <c r="N342" s="38">
        <f t="shared" si="5"/>
        <v>0</v>
      </c>
    </row>
    <row r="343" spans="1:14" x14ac:dyDescent="0.25">
      <c r="A343" s="1" t="s">
        <v>99</v>
      </c>
      <c r="B343" t="s">
        <v>102</v>
      </c>
      <c r="C343" s="62">
        <f>VLOOKUP(B343,合并仓明细!$D$2:$F$74,3,0)</f>
        <v>76</v>
      </c>
      <c r="D343" t="s">
        <v>393</v>
      </c>
      <c r="E343" t="s">
        <v>263</v>
      </c>
      <c r="F343" t="s">
        <v>66</v>
      </c>
      <c r="G343">
        <v>1633.335</v>
      </c>
      <c r="H343">
        <v>1.633335</v>
      </c>
      <c r="L343" s="37">
        <f>IF(H343&gt;30,QUOTIENT(H343,30)*VLOOKUP(D343,'报价表-配送'!$B$2:$I$6,8,0),0)+IF(AND(MOD(H343,30)&gt;18,MOD(H343,30)&lt;=30),1,0)*VLOOKUP(D343,'报价表-配送'!$B$2:$I$6,8,0)+IF(AND(MOD(H343,30)&gt;8,MOD(H343,30)&lt;=18),1*VLOOKUP(D343,'报价表-配送'!$B$2:$I$6,7,0),0)+IF(AND(MOD(H343,30)&lt;=8,MOD(H343,30)&gt;2.5),1,0)*VLOOKUP(D343,'报价表-配送'!$B$2:$I$6,6,0)+IF(AND(MOD(H343,30)&lt;=2.5,MOD(H343,30)&gt;=1.5),1,0)*VLOOKUP(D343,'报价表-配送'!$B$2:$I$6,5,0)</f>
        <v>0</v>
      </c>
      <c r="M343" s="39">
        <f>IF(AND(MOD(H343,30)&lt;1.5,MOD(H343,30)&gt;=0.5),H343,0)*VLOOKUP(D343,'报价表-配送'!$B$2:$I$6,4,0)*1000+IF(AND(MOD(H343,30)&lt;0.5,MOD(H343,30)&gt;=0.02),H343,0)*VLOOKUP(D343,'报价表-配送'!$B$2:$I$6,3,0)*1000+IF(AND(MOD(H343,30)&lt;0.02),H343,0)*VLOOKUP(D343,'报价表-配送'!$B$2:$I$6,2,0)*1000</f>
        <v>0</v>
      </c>
      <c r="N343" s="38">
        <f t="shared" si="5"/>
        <v>0</v>
      </c>
    </row>
    <row r="344" spans="1:14" x14ac:dyDescent="0.25">
      <c r="A344" s="1" t="s">
        <v>99</v>
      </c>
      <c r="B344" t="s">
        <v>102</v>
      </c>
      <c r="C344" s="62">
        <f>VLOOKUP(B344,合并仓明细!$D$2:$F$74,3,0)</f>
        <v>76</v>
      </c>
      <c r="D344" t="s">
        <v>393</v>
      </c>
      <c r="E344" t="s">
        <v>264</v>
      </c>
      <c r="F344" t="s">
        <v>68</v>
      </c>
      <c r="G344">
        <v>6535.4782800000003</v>
      </c>
      <c r="H344">
        <v>14.650975313629999</v>
      </c>
      <c r="I344" s="46">
        <f>ROUNDUP(H344/30,0)*VLOOKUP(D344,'报价表-配送'!$B$2:$I$6,8,0)</f>
        <v>0</v>
      </c>
      <c r="N344" s="38">
        <f t="shared" si="5"/>
        <v>0</v>
      </c>
    </row>
    <row r="345" spans="1:14" x14ac:dyDescent="0.25">
      <c r="A345" s="1" t="s">
        <v>99</v>
      </c>
      <c r="B345" t="s">
        <v>102</v>
      </c>
      <c r="C345" s="62">
        <f>VLOOKUP(B345,合并仓明细!$D$2:$F$74,3,0)</f>
        <v>76</v>
      </c>
      <c r="D345" t="s">
        <v>393</v>
      </c>
      <c r="E345" t="s">
        <v>264</v>
      </c>
      <c r="F345" t="s">
        <v>67</v>
      </c>
      <c r="G345">
        <v>5735.4848999999995</v>
      </c>
      <c r="H345"/>
      <c r="L345" s="37"/>
      <c r="M345" s="39"/>
      <c r="N345" s="38">
        <f t="shared" si="5"/>
        <v>0</v>
      </c>
    </row>
    <row r="346" spans="1:14" x14ac:dyDescent="0.25">
      <c r="A346" s="1" t="s">
        <v>99</v>
      </c>
      <c r="B346" t="s">
        <v>102</v>
      </c>
      <c r="C346" s="62">
        <f>VLOOKUP(B346,合并仓明细!$D$2:$F$74,3,0)</f>
        <v>76</v>
      </c>
      <c r="D346" t="s">
        <v>393</v>
      </c>
      <c r="E346" t="s">
        <v>264</v>
      </c>
      <c r="F346" t="s">
        <v>66</v>
      </c>
      <c r="G346">
        <v>2380.0121336300003</v>
      </c>
      <c r="H346"/>
      <c r="N346" s="38">
        <f t="shared" si="5"/>
        <v>0</v>
      </c>
    </row>
    <row r="347" spans="1:14" x14ac:dyDescent="0.25">
      <c r="A347" s="1" t="s">
        <v>99</v>
      </c>
      <c r="B347" t="s">
        <v>102</v>
      </c>
      <c r="C347" s="62">
        <f>VLOOKUP(B347,合并仓明细!$D$2:$F$74,3,0)</f>
        <v>76</v>
      </c>
      <c r="D347" t="s">
        <v>393</v>
      </c>
      <c r="E347" t="s">
        <v>265</v>
      </c>
      <c r="F347" t="s">
        <v>68</v>
      </c>
      <c r="G347">
        <v>127.91448</v>
      </c>
      <c r="H347">
        <v>5.0346099799699999</v>
      </c>
      <c r="I347" s="46">
        <f>ROUNDUP(H347/30,0)*VLOOKUP(D347,'报价表-配送'!$B$2:$I$6,8,0)</f>
        <v>0</v>
      </c>
      <c r="N347" s="38">
        <f t="shared" si="5"/>
        <v>0</v>
      </c>
    </row>
    <row r="348" spans="1:14" x14ac:dyDescent="0.25">
      <c r="A348" s="1" t="s">
        <v>99</v>
      </c>
      <c r="B348" t="s">
        <v>102</v>
      </c>
      <c r="C348" s="62">
        <f>VLOOKUP(B348,合并仓明细!$D$2:$F$74,3,0)</f>
        <v>76</v>
      </c>
      <c r="D348" t="s">
        <v>393</v>
      </c>
      <c r="E348" t="s">
        <v>265</v>
      </c>
      <c r="F348" t="s">
        <v>67</v>
      </c>
      <c r="G348">
        <v>1880.6804999999999</v>
      </c>
      <c r="H348"/>
      <c r="N348" s="38">
        <f t="shared" si="5"/>
        <v>0</v>
      </c>
    </row>
    <row r="349" spans="1:14" x14ac:dyDescent="0.25">
      <c r="A349" s="1" t="s">
        <v>99</v>
      </c>
      <c r="B349" t="s">
        <v>102</v>
      </c>
      <c r="C349" s="62">
        <f>VLOOKUP(B349,合并仓明细!$D$2:$F$74,3,0)</f>
        <v>76</v>
      </c>
      <c r="D349" t="s">
        <v>393</v>
      </c>
      <c r="E349" t="s">
        <v>265</v>
      </c>
      <c r="F349" t="s">
        <v>66</v>
      </c>
      <c r="G349">
        <v>3026.0149999699997</v>
      </c>
      <c r="H349"/>
      <c r="I349" s="38"/>
      <c r="J349" s="38"/>
      <c r="K349" s="38"/>
      <c r="L349" s="37"/>
      <c r="M349" s="37"/>
      <c r="N349" s="38">
        <f t="shared" si="5"/>
        <v>0</v>
      </c>
    </row>
    <row r="350" spans="1:14" x14ac:dyDescent="0.25">
      <c r="A350" s="1" t="s">
        <v>99</v>
      </c>
      <c r="B350" t="s">
        <v>102</v>
      </c>
      <c r="C350" s="62">
        <f>VLOOKUP(B350,合并仓明细!$D$2:$F$74,3,0)</f>
        <v>76</v>
      </c>
      <c r="D350" t="s">
        <v>393</v>
      </c>
      <c r="E350" t="s">
        <v>257</v>
      </c>
      <c r="F350" t="s">
        <v>68</v>
      </c>
      <c r="G350">
        <v>59.28</v>
      </c>
      <c r="H350">
        <v>4.4055422515</v>
      </c>
      <c r="I350" s="46">
        <f>ROUNDUP(H350/30,0)*VLOOKUP(D350,'报价表-配送'!$B$2:$I$6,8,0)</f>
        <v>0</v>
      </c>
      <c r="N350" s="38">
        <f t="shared" si="5"/>
        <v>0</v>
      </c>
    </row>
    <row r="351" spans="1:14" x14ac:dyDescent="0.25">
      <c r="A351" s="1" t="s">
        <v>99</v>
      </c>
      <c r="B351" t="s">
        <v>102</v>
      </c>
      <c r="C351" s="62">
        <f>VLOOKUP(B351,合并仓明细!$D$2:$F$74,3,0)</f>
        <v>76</v>
      </c>
      <c r="D351" t="s">
        <v>393</v>
      </c>
      <c r="E351" t="s">
        <v>257</v>
      </c>
      <c r="F351" t="s">
        <v>67</v>
      </c>
      <c r="G351">
        <v>1201.5556799999999</v>
      </c>
      <c r="H351"/>
      <c r="N351" s="38">
        <f t="shared" si="5"/>
        <v>0</v>
      </c>
    </row>
    <row r="352" spans="1:14" x14ac:dyDescent="0.25">
      <c r="A352" s="1" t="s">
        <v>99</v>
      </c>
      <c r="B352" t="s">
        <v>102</v>
      </c>
      <c r="C352" s="62">
        <f>VLOOKUP(B352,合并仓明细!$D$2:$F$74,3,0)</f>
        <v>76</v>
      </c>
      <c r="D352" t="s">
        <v>393</v>
      </c>
      <c r="E352" t="s">
        <v>257</v>
      </c>
      <c r="F352" t="s">
        <v>66</v>
      </c>
      <c r="G352">
        <v>3144.7065715000003</v>
      </c>
      <c r="H352"/>
      <c r="N352" s="38">
        <f t="shared" si="5"/>
        <v>0</v>
      </c>
    </row>
    <row r="353" spans="1:14" x14ac:dyDescent="0.25">
      <c r="A353" s="1" t="s">
        <v>99</v>
      </c>
      <c r="B353" t="s">
        <v>102</v>
      </c>
      <c r="C353" s="62">
        <f>VLOOKUP(B353,合并仓明细!$D$2:$F$74,3,0)</f>
        <v>76</v>
      </c>
      <c r="D353" t="s">
        <v>393</v>
      </c>
      <c r="E353" t="s">
        <v>266</v>
      </c>
      <c r="F353" t="s">
        <v>66</v>
      </c>
      <c r="G353">
        <v>2672.4027276000002</v>
      </c>
      <c r="H353">
        <v>2.6724027276000002</v>
      </c>
      <c r="L353" s="37">
        <f>IF(H353&gt;30,QUOTIENT(H353,30)*VLOOKUP(D353,'报价表-配送'!$B$2:$I$6,8,0),0)+IF(AND(MOD(H353,30)&gt;18,MOD(H353,30)&lt;=30),1,0)*VLOOKUP(D353,'报价表-配送'!$B$2:$I$6,8,0)+IF(AND(MOD(H353,30)&gt;8,MOD(H353,30)&lt;=18),1*VLOOKUP(D353,'报价表-配送'!$B$2:$I$6,7,0),0)+IF(AND(MOD(H353,30)&lt;=8,MOD(H353,30)&gt;2.5),1,0)*VLOOKUP(D353,'报价表-配送'!$B$2:$I$6,6,0)+IF(AND(MOD(H353,30)&lt;=2.5,MOD(H353,30)&gt;=1.5),1,0)*VLOOKUP(D353,'报价表-配送'!$B$2:$I$6,5,0)</f>
        <v>0</v>
      </c>
      <c r="M353" s="39">
        <f>IF(AND(MOD(H353,30)&lt;1.5,MOD(H353,30)&gt;=0.5),H353,0)*VLOOKUP(D353,'报价表-配送'!$B$2:$I$6,4,0)*1000+IF(AND(MOD(H353,30)&lt;0.5,MOD(H353,30)&gt;=0.02),H353,0)*VLOOKUP(D353,'报价表-配送'!$B$2:$I$6,3,0)*1000+IF(AND(MOD(H353,30)&lt;0.02),H353,0)*VLOOKUP(D353,'报价表-配送'!$B$2:$I$6,2,0)*1000</f>
        <v>0</v>
      </c>
      <c r="N353" s="38">
        <f t="shared" si="5"/>
        <v>0</v>
      </c>
    </row>
    <row r="354" spans="1:14" x14ac:dyDescent="0.25">
      <c r="A354" s="1" t="s">
        <v>99</v>
      </c>
      <c r="B354" t="s">
        <v>102</v>
      </c>
      <c r="C354" s="62">
        <f>VLOOKUP(B354,合并仓明细!$D$2:$F$74,3,0)</f>
        <v>76</v>
      </c>
      <c r="D354" t="s">
        <v>393</v>
      </c>
      <c r="E354" t="s">
        <v>267</v>
      </c>
      <c r="F354" t="s">
        <v>68</v>
      </c>
      <c r="G354">
        <v>5389.1500800000003</v>
      </c>
      <c r="H354">
        <v>11.027669025510001</v>
      </c>
      <c r="I354" s="46">
        <f>ROUNDUP(H354/30,0)*VLOOKUP(D354,'报价表-配送'!$B$2:$I$6,8,0)</f>
        <v>0</v>
      </c>
      <c r="N354" s="38">
        <f t="shared" si="5"/>
        <v>0</v>
      </c>
    </row>
    <row r="355" spans="1:14" x14ac:dyDescent="0.25">
      <c r="A355" s="1" t="s">
        <v>99</v>
      </c>
      <c r="B355" t="s">
        <v>102</v>
      </c>
      <c r="C355" s="62">
        <f>VLOOKUP(B355,合并仓明细!$D$2:$F$74,3,0)</f>
        <v>76</v>
      </c>
      <c r="D355" t="s">
        <v>393</v>
      </c>
      <c r="E355" t="s">
        <v>267</v>
      </c>
      <c r="F355" t="s">
        <v>67</v>
      </c>
      <c r="G355">
        <v>1850.8334460000001</v>
      </c>
      <c r="H355"/>
      <c r="N355" s="38">
        <f t="shared" si="5"/>
        <v>0</v>
      </c>
    </row>
    <row r="356" spans="1:14" x14ac:dyDescent="0.25">
      <c r="A356" s="1" t="s">
        <v>99</v>
      </c>
      <c r="B356" t="s">
        <v>102</v>
      </c>
      <c r="C356" s="62">
        <f>VLOOKUP(B356,合并仓明细!$D$2:$F$74,3,0)</f>
        <v>76</v>
      </c>
      <c r="D356" t="s">
        <v>393</v>
      </c>
      <c r="E356" t="s">
        <v>267</v>
      </c>
      <c r="F356" t="s">
        <v>66</v>
      </c>
      <c r="G356">
        <v>3787.6854995100002</v>
      </c>
      <c r="H356"/>
      <c r="N356" s="38">
        <f t="shared" si="5"/>
        <v>0</v>
      </c>
    </row>
    <row r="357" spans="1:14" x14ac:dyDescent="0.25">
      <c r="A357" s="1" t="s">
        <v>99</v>
      </c>
      <c r="B357" t="s">
        <v>102</v>
      </c>
      <c r="C357" s="62">
        <f>VLOOKUP(B357,合并仓明细!$D$2:$F$74,3,0)</f>
        <v>76</v>
      </c>
      <c r="D357" t="s">
        <v>393</v>
      </c>
      <c r="E357" t="s">
        <v>268</v>
      </c>
      <c r="F357" t="s">
        <v>67</v>
      </c>
      <c r="G357">
        <v>5217.1455599999999</v>
      </c>
      <c r="H357">
        <v>8.4434253633199994</v>
      </c>
      <c r="I357" s="38">
        <f>IF(H357&gt;30,QUOTIENT(H357,30)*VLOOKUP(D357,'报价表-配送'!$B$2:$I$6,8,0),0)+IF(AND(MOD(H357,30)&gt;18,MOD(H357,30)&lt;=30),1,0)*VLOOKUP(D357,'报价表-配送'!$B$2:$I$6,8,0)</f>
        <v>0</v>
      </c>
      <c r="J357" s="38">
        <f>IF(AND(MOD(H357,30)&gt;8,MOD(H357,30)&lt;=18),1*VLOOKUP(D357,'报价表-配送'!$B$2:$I$6,7,0),0)</f>
        <v>0</v>
      </c>
      <c r="K357" s="38">
        <f>IF(AND(MOD(H357,30)&lt;=8,MOD(H357,30)&gt;0),1,0)*VLOOKUP(D357,'报价表-配送'!$B$2:$I$6,6,0)</f>
        <v>0</v>
      </c>
      <c r="N357" s="38">
        <f t="shared" si="5"/>
        <v>0</v>
      </c>
    </row>
    <row r="358" spans="1:14" x14ac:dyDescent="0.25">
      <c r="A358" s="1" t="s">
        <v>99</v>
      </c>
      <c r="B358" t="s">
        <v>102</v>
      </c>
      <c r="C358" s="62">
        <f>VLOOKUP(B358,合并仓明细!$D$2:$F$74,3,0)</f>
        <v>76</v>
      </c>
      <c r="D358" t="s">
        <v>393</v>
      </c>
      <c r="E358" t="s">
        <v>268</v>
      </c>
      <c r="F358" t="s">
        <v>66</v>
      </c>
      <c r="G358">
        <v>3226.2798033199992</v>
      </c>
      <c r="H358"/>
      <c r="N358" s="38">
        <f t="shared" si="5"/>
        <v>0</v>
      </c>
    </row>
    <row r="359" spans="1:14" x14ac:dyDescent="0.25">
      <c r="A359" s="1" t="s">
        <v>99</v>
      </c>
      <c r="B359" t="s">
        <v>102</v>
      </c>
      <c r="C359" s="62">
        <f>VLOOKUP(B359,合并仓明细!$D$2:$F$74,3,0)</f>
        <v>76</v>
      </c>
      <c r="D359" t="s">
        <v>393</v>
      </c>
      <c r="E359" t="s">
        <v>269</v>
      </c>
      <c r="F359" t="s">
        <v>66</v>
      </c>
      <c r="G359">
        <v>95.928333330000001</v>
      </c>
      <c r="H359">
        <v>9.5928333330000004E-2</v>
      </c>
      <c r="L359" s="37">
        <f>IF(H359&gt;30,QUOTIENT(H359,30)*VLOOKUP(D359,'报价表-配送'!$B$2:$I$6,8,0),0)+IF(AND(MOD(H359,30)&gt;18,MOD(H359,30)&lt;=30),1,0)*VLOOKUP(D359,'报价表-配送'!$B$2:$I$6,8,0)+IF(AND(MOD(H359,30)&gt;8,MOD(H359,30)&lt;=18),1*VLOOKUP(D359,'报价表-配送'!$B$2:$I$6,7,0),0)+IF(AND(MOD(H359,30)&lt;=8,MOD(H359,30)&gt;2.5),1,0)*VLOOKUP(D359,'报价表-配送'!$B$2:$I$6,6,0)+IF(AND(MOD(H359,30)&lt;=2.5,MOD(H359,30)&gt;=1.5),1,0)*VLOOKUP(D359,'报价表-配送'!$B$2:$I$6,5,0)</f>
        <v>0</v>
      </c>
      <c r="M359" s="39">
        <f>IF(AND(MOD(H359,30)&lt;1.5,MOD(H359,30)&gt;=0.5),H359,0)*VLOOKUP(D359,'报价表-配送'!$B$2:$I$6,4,0)*1000+IF(AND(MOD(H359,30)&lt;0.5,MOD(H359,30)&gt;=0.02),H359,0)*VLOOKUP(D359,'报价表-配送'!$B$2:$I$6,3,0)*1000+IF(AND(MOD(H359,30)&lt;0.02),H359,0)*VLOOKUP(D359,'报价表-配送'!$B$2:$I$6,2,0)*1000</f>
        <v>0</v>
      </c>
      <c r="N359" s="38">
        <f t="shared" si="5"/>
        <v>0</v>
      </c>
    </row>
    <row r="360" spans="1:14" x14ac:dyDescent="0.25">
      <c r="A360" s="1" t="s">
        <v>99</v>
      </c>
      <c r="B360" t="s">
        <v>102</v>
      </c>
      <c r="C360" s="62">
        <f>VLOOKUP(B360,合并仓明细!$D$2:$F$74,3,0)</f>
        <v>76</v>
      </c>
      <c r="D360" t="s">
        <v>393</v>
      </c>
      <c r="E360" t="s">
        <v>270</v>
      </c>
      <c r="F360" t="s">
        <v>68</v>
      </c>
      <c r="G360">
        <v>660.37847999999997</v>
      </c>
      <c r="H360">
        <v>4.3888068132000004</v>
      </c>
      <c r="I360" s="46">
        <f>ROUNDUP(H360/30,0)*VLOOKUP(D360,'报价表-配送'!$B$2:$I$6,8,0)</f>
        <v>0</v>
      </c>
      <c r="N360" s="38">
        <f t="shared" si="5"/>
        <v>0</v>
      </c>
    </row>
    <row r="361" spans="1:14" x14ac:dyDescent="0.25">
      <c r="A361" s="1" t="s">
        <v>99</v>
      </c>
      <c r="B361" t="s">
        <v>102</v>
      </c>
      <c r="C361" s="62">
        <f>VLOOKUP(B361,合并仓明细!$D$2:$F$74,3,0)</f>
        <v>76</v>
      </c>
      <c r="D361" t="s">
        <v>393</v>
      </c>
      <c r="E361" t="s">
        <v>270</v>
      </c>
      <c r="F361" t="s">
        <v>67</v>
      </c>
      <c r="G361">
        <v>1652.4</v>
      </c>
      <c r="H361"/>
      <c r="N361" s="38">
        <f t="shared" si="5"/>
        <v>0</v>
      </c>
    </row>
    <row r="362" spans="1:14" x14ac:dyDescent="0.25">
      <c r="A362" s="1" t="s">
        <v>99</v>
      </c>
      <c r="B362" t="s">
        <v>102</v>
      </c>
      <c r="C362" s="62">
        <f>VLOOKUP(B362,合并仓明细!$D$2:$F$74,3,0)</f>
        <v>76</v>
      </c>
      <c r="D362" t="s">
        <v>393</v>
      </c>
      <c r="E362" t="s">
        <v>270</v>
      </c>
      <c r="F362" t="s">
        <v>66</v>
      </c>
      <c r="G362">
        <v>2076.0283332000004</v>
      </c>
      <c r="H362"/>
      <c r="N362" s="38">
        <f t="shared" si="5"/>
        <v>0</v>
      </c>
    </row>
    <row r="363" spans="1:14" x14ac:dyDescent="0.25">
      <c r="A363" s="1" t="s">
        <v>99</v>
      </c>
      <c r="B363" t="s">
        <v>102</v>
      </c>
      <c r="C363" s="62">
        <f>VLOOKUP(B363,合并仓明细!$D$2:$F$74,3,0)</f>
        <v>76</v>
      </c>
      <c r="D363" t="s">
        <v>393</v>
      </c>
      <c r="E363" t="s">
        <v>271</v>
      </c>
      <c r="F363" t="s">
        <v>68</v>
      </c>
      <c r="G363">
        <v>1758.44904</v>
      </c>
      <c r="H363">
        <v>2.36745320658</v>
      </c>
      <c r="I363" s="46">
        <f>ROUNDUP(H363/30,0)*VLOOKUP(D363,'报价表-配送'!$B$2:$I$6,8,0)</f>
        <v>0</v>
      </c>
      <c r="N363" s="38">
        <f t="shared" si="5"/>
        <v>0</v>
      </c>
    </row>
    <row r="364" spans="1:14" x14ac:dyDescent="0.25">
      <c r="A364" s="1" t="s">
        <v>99</v>
      </c>
      <c r="B364" t="s">
        <v>102</v>
      </c>
      <c r="C364" s="62">
        <f>VLOOKUP(B364,合并仓明细!$D$2:$F$74,3,0)</f>
        <v>76</v>
      </c>
      <c r="D364" t="s">
        <v>393</v>
      </c>
      <c r="E364" t="s">
        <v>271</v>
      </c>
      <c r="F364" t="s">
        <v>66</v>
      </c>
      <c r="G364">
        <v>609.00416657999995</v>
      </c>
      <c r="H364"/>
      <c r="N364" s="38">
        <f t="shared" si="5"/>
        <v>0</v>
      </c>
    </row>
    <row r="365" spans="1:14" x14ac:dyDescent="0.25">
      <c r="A365" s="1" t="s">
        <v>99</v>
      </c>
      <c r="B365" t="s">
        <v>102</v>
      </c>
      <c r="C365" s="62">
        <f>VLOOKUP(B365,合并仓明细!$D$2:$F$74,3,0)</f>
        <v>76</v>
      </c>
      <c r="D365" t="s">
        <v>393</v>
      </c>
      <c r="E365" t="s">
        <v>272</v>
      </c>
      <c r="F365" t="s">
        <v>66</v>
      </c>
      <c r="G365">
        <v>9.9499999999999993</v>
      </c>
      <c r="H365">
        <v>9.9499999999999988E-3</v>
      </c>
      <c r="L365" s="37">
        <f>IF(H365&gt;30,QUOTIENT(H365,30)*VLOOKUP(D365,'报价表-配送'!$B$2:$I$6,8,0),0)+IF(AND(MOD(H365,30)&gt;18,MOD(H365,30)&lt;=30),1,0)*VLOOKUP(D365,'报价表-配送'!$B$2:$I$6,8,0)+IF(AND(MOD(H365,30)&gt;8,MOD(H365,30)&lt;=18),1*VLOOKUP(D365,'报价表-配送'!$B$2:$I$6,7,0),0)+IF(AND(MOD(H365,30)&lt;=8,MOD(H365,30)&gt;2.5),1,0)*VLOOKUP(D365,'报价表-配送'!$B$2:$I$6,6,0)+IF(AND(MOD(H365,30)&lt;=2.5,MOD(H365,30)&gt;=1.5),1,0)*VLOOKUP(D365,'报价表-配送'!$B$2:$I$6,5,0)</f>
        <v>0</v>
      </c>
      <c r="M365" s="39">
        <f>IF(AND(MOD(H365,30)&lt;1.5,MOD(H365,30)&gt;=0.5),H365,0)*VLOOKUP(D365,'报价表-配送'!$B$2:$I$6,4,0)*1000+IF(AND(MOD(H365,30)&lt;0.5,MOD(H365,30)&gt;=0.02),H365,0)*VLOOKUP(D365,'报价表-配送'!$B$2:$I$6,3,0)*1000+IF(AND(MOD(H365,30)&lt;0.02),H365,0)*VLOOKUP(D365,'报价表-配送'!$B$2:$I$6,2,0)*1000</f>
        <v>0</v>
      </c>
      <c r="N365" s="38">
        <f t="shared" si="5"/>
        <v>0</v>
      </c>
    </row>
    <row r="366" spans="1:14" x14ac:dyDescent="0.25">
      <c r="A366" s="1" t="s">
        <v>99</v>
      </c>
      <c r="B366" t="s">
        <v>102</v>
      </c>
      <c r="C366" s="62">
        <f>VLOOKUP(B366,合并仓明细!$D$2:$F$74,3,0)</f>
        <v>76</v>
      </c>
      <c r="D366" t="s">
        <v>393</v>
      </c>
      <c r="E366" t="s">
        <v>273</v>
      </c>
      <c r="F366" t="s">
        <v>68</v>
      </c>
      <c r="G366">
        <v>2412.8289999999997</v>
      </c>
      <c r="H366">
        <v>5.178618597819999</v>
      </c>
      <c r="I366" s="46">
        <f>ROUNDUP(H366/30,0)*VLOOKUP(D366,'报价表-配送'!$B$2:$I$6,8,0)</f>
        <v>0</v>
      </c>
      <c r="N366" s="38">
        <f t="shared" si="5"/>
        <v>0</v>
      </c>
    </row>
    <row r="367" spans="1:14" x14ac:dyDescent="0.25">
      <c r="A367" s="1" t="s">
        <v>99</v>
      </c>
      <c r="B367" t="s">
        <v>102</v>
      </c>
      <c r="C367" s="62">
        <f>VLOOKUP(B367,合并仓明细!$D$2:$F$74,3,0)</f>
        <v>76</v>
      </c>
      <c r="D367" t="s">
        <v>393</v>
      </c>
      <c r="E367" t="s">
        <v>273</v>
      </c>
      <c r="F367" t="s">
        <v>67</v>
      </c>
      <c r="G367">
        <v>733.79884800000002</v>
      </c>
      <c r="H367"/>
      <c r="N367" s="38">
        <f t="shared" si="5"/>
        <v>0</v>
      </c>
    </row>
    <row r="368" spans="1:14" x14ac:dyDescent="0.25">
      <c r="A368" s="1" t="s">
        <v>99</v>
      </c>
      <c r="B368" t="s">
        <v>102</v>
      </c>
      <c r="C368" s="62">
        <f>VLOOKUP(B368,合并仓明细!$D$2:$F$74,3,0)</f>
        <v>76</v>
      </c>
      <c r="D368" t="s">
        <v>393</v>
      </c>
      <c r="E368" t="s">
        <v>273</v>
      </c>
      <c r="F368" t="s">
        <v>66</v>
      </c>
      <c r="G368">
        <v>2031.9907498199998</v>
      </c>
      <c r="H368"/>
      <c r="N368" s="38">
        <f t="shared" si="5"/>
        <v>0</v>
      </c>
    </row>
    <row r="369" spans="1:14" x14ac:dyDescent="0.25">
      <c r="A369" s="1" t="s">
        <v>99</v>
      </c>
      <c r="B369" t="s">
        <v>102</v>
      </c>
      <c r="C369" s="62">
        <f>VLOOKUP(B369,合并仓明细!$D$2:$F$74,3,0)</f>
        <v>76</v>
      </c>
      <c r="D369" t="s">
        <v>393</v>
      </c>
      <c r="E369" t="s">
        <v>274</v>
      </c>
      <c r="F369" t="s">
        <v>66</v>
      </c>
      <c r="G369">
        <v>1229.9999999999998</v>
      </c>
      <c r="H369">
        <v>1.2299999999999998</v>
      </c>
      <c r="L369" s="37">
        <f>IF(H369&gt;30,QUOTIENT(H369,30)*VLOOKUP(D369,'报价表-配送'!$B$2:$I$6,8,0),0)+IF(AND(MOD(H369,30)&gt;18,MOD(H369,30)&lt;=30),1,0)*VLOOKUP(D369,'报价表-配送'!$B$2:$I$6,8,0)+IF(AND(MOD(H369,30)&gt;8,MOD(H369,30)&lt;=18),1*VLOOKUP(D369,'报价表-配送'!$B$2:$I$6,7,0),0)+IF(AND(MOD(H369,30)&lt;=8,MOD(H369,30)&gt;2.5),1,0)*VLOOKUP(D369,'报价表-配送'!$B$2:$I$6,6,0)+IF(AND(MOD(H369,30)&lt;=2.5,MOD(H369,30)&gt;=1.5),1,0)*VLOOKUP(D369,'报价表-配送'!$B$2:$I$6,5,0)</f>
        <v>0</v>
      </c>
      <c r="M369" s="39">
        <f>IF(AND(MOD(H369,30)&lt;1.5,MOD(H369,30)&gt;=0.5),H369,0)*VLOOKUP(D369,'报价表-配送'!$B$2:$I$6,4,0)*1000+IF(AND(MOD(H369,30)&lt;0.5,MOD(H369,30)&gt;=0.02),H369,0)*VLOOKUP(D369,'报价表-配送'!$B$2:$I$6,3,0)*1000+IF(AND(MOD(H369,30)&lt;0.02),H369,0)*VLOOKUP(D369,'报价表-配送'!$B$2:$I$6,2,0)*1000</f>
        <v>0</v>
      </c>
      <c r="N369" s="38">
        <f t="shared" si="5"/>
        <v>0</v>
      </c>
    </row>
    <row r="370" spans="1:14" x14ac:dyDescent="0.25">
      <c r="A370" s="1" t="s">
        <v>99</v>
      </c>
      <c r="B370" t="s">
        <v>102</v>
      </c>
      <c r="C370" s="62">
        <f>VLOOKUP(B370,合并仓明细!$D$2:$F$74,3,0)</f>
        <v>76</v>
      </c>
      <c r="D370" t="s">
        <v>393</v>
      </c>
      <c r="E370" t="s">
        <v>275</v>
      </c>
      <c r="F370" t="s">
        <v>67</v>
      </c>
      <c r="G370">
        <v>480.73596000000003</v>
      </c>
      <c r="H370">
        <v>2.8562314600000001</v>
      </c>
      <c r="I370" s="38">
        <f>IF(H370&gt;30,QUOTIENT(H370,30)*VLOOKUP(D370,'报价表-配送'!$B$2:$I$6,8,0),0)+IF(AND(MOD(H370,30)&gt;18,MOD(H370,30)&lt;=30),1,0)*VLOOKUP(D370,'报价表-配送'!$B$2:$I$6,8,0)</f>
        <v>0</v>
      </c>
      <c r="J370" s="38">
        <f>IF(AND(MOD(H370,30)&gt;8,MOD(H370,30)&lt;=18),1*VLOOKUP(D370,'报价表-配送'!$B$2:$I$6,7,0),0)</f>
        <v>0</v>
      </c>
      <c r="K370" s="38">
        <f>IF(AND(MOD(H370,30)&lt;=8,MOD(H370,30)&gt;0),1,0)*VLOOKUP(D370,'报价表-配送'!$B$2:$I$6,6,0)</f>
        <v>0</v>
      </c>
      <c r="N370" s="38">
        <f t="shared" si="5"/>
        <v>0</v>
      </c>
    </row>
    <row r="371" spans="1:14" x14ac:dyDescent="0.25">
      <c r="A371" s="1" t="s">
        <v>99</v>
      </c>
      <c r="B371" t="s">
        <v>102</v>
      </c>
      <c r="C371" s="62">
        <f>VLOOKUP(B371,合并仓明细!$D$2:$F$74,3,0)</f>
        <v>76</v>
      </c>
      <c r="D371" t="s">
        <v>393</v>
      </c>
      <c r="E371" t="s">
        <v>275</v>
      </c>
      <c r="F371" t="s">
        <v>66</v>
      </c>
      <c r="G371">
        <v>2375.4955</v>
      </c>
      <c r="H371"/>
      <c r="N371" s="38">
        <f t="shared" si="5"/>
        <v>0</v>
      </c>
    </row>
    <row r="372" spans="1:14" x14ac:dyDescent="0.25">
      <c r="A372" s="1" t="s">
        <v>99</v>
      </c>
      <c r="B372" t="s">
        <v>102</v>
      </c>
      <c r="C372" s="62">
        <f>VLOOKUP(B372,合并仓明细!$D$2:$F$74,3,0)</f>
        <v>76</v>
      </c>
      <c r="D372" t="s">
        <v>393</v>
      </c>
      <c r="E372" t="s">
        <v>276</v>
      </c>
      <c r="F372" t="s">
        <v>66</v>
      </c>
      <c r="G372">
        <v>308.94962999999996</v>
      </c>
      <c r="H372">
        <v>0.30894962999999998</v>
      </c>
      <c r="L372" s="37">
        <f>IF(H372&gt;30,QUOTIENT(H372,30)*VLOOKUP(D372,'报价表-配送'!$B$2:$I$6,8,0),0)+IF(AND(MOD(H372,30)&gt;18,MOD(H372,30)&lt;=30),1,0)*VLOOKUP(D372,'报价表-配送'!$B$2:$I$6,8,0)+IF(AND(MOD(H372,30)&gt;8,MOD(H372,30)&lt;=18),1*VLOOKUP(D372,'报价表-配送'!$B$2:$I$6,7,0),0)+IF(AND(MOD(H372,30)&lt;=8,MOD(H372,30)&gt;2.5),1,0)*VLOOKUP(D372,'报价表-配送'!$B$2:$I$6,6,0)+IF(AND(MOD(H372,30)&lt;=2.5,MOD(H372,30)&gt;=1.5),1,0)*VLOOKUP(D372,'报价表-配送'!$B$2:$I$6,5,0)</f>
        <v>0</v>
      </c>
      <c r="M372" s="39">
        <f>IF(AND(MOD(H372,30)&lt;1.5,MOD(H372,30)&gt;=0.5),H372,0)*VLOOKUP(D372,'报价表-配送'!$B$2:$I$6,4,0)*1000+IF(AND(MOD(H372,30)&lt;0.5,MOD(H372,30)&gt;=0.02),H372,0)*VLOOKUP(D372,'报价表-配送'!$B$2:$I$6,3,0)*1000+IF(AND(MOD(H372,30)&lt;0.02),H372,0)*VLOOKUP(D372,'报价表-配送'!$B$2:$I$6,2,0)*1000</f>
        <v>0</v>
      </c>
      <c r="N372" s="38">
        <f t="shared" si="5"/>
        <v>0</v>
      </c>
    </row>
    <row r="373" spans="1:14" x14ac:dyDescent="0.25">
      <c r="A373" s="1" t="s">
        <v>99</v>
      </c>
      <c r="B373" t="s">
        <v>102</v>
      </c>
      <c r="C373" s="62">
        <f>VLOOKUP(B373,合并仓明细!$D$2:$F$74,3,0)</f>
        <v>76</v>
      </c>
      <c r="D373" t="s">
        <v>393</v>
      </c>
      <c r="E373" t="s">
        <v>277</v>
      </c>
      <c r="F373" t="s">
        <v>67</v>
      </c>
      <c r="G373">
        <v>1296.181932</v>
      </c>
      <c r="H373">
        <v>5.1467210986199987</v>
      </c>
      <c r="I373" s="38">
        <f>IF(H373&gt;30,QUOTIENT(H373,30)*VLOOKUP(D373,'报价表-配送'!$B$2:$I$6,8,0),0)+IF(AND(MOD(H373,30)&gt;18,MOD(H373,30)&lt;=30),1,0)*VLOOKUP(D373,'报价表-配送'!$B$2:$I$6,8,0)</f>
        <v>0</v>
      </c>
      <c r="J373" s="38">
        <f>IF(AND(MOD(H373,30)&gt;8,MOD(H373,30)&lt;=18),1*VLOOKUP(D373,'报价表-配送'!$B$2:$I$6,7,0),0)</f>
        <v>0</v>
      </c>
      <c r="K373" s="38">
        <f>IF(AND(MOD(H373,30)&lt;=8,MOD(H373,30)&gt;0),1,0)*VLOOKUP(D373,'报价表-配送'!$B$2:$I$6,6,0)</f>
        <v>0</v>
      </c>
      <c r="N373" s="38">
        <f t="shared" si="5"/>
        <v>0</v>
      </c>
    </row>
    <row r="374" spans="1:14" x14ac:dyDescent="0.25">
      <c r="A374" s="1" t="s">
        <v>99</v>
      </c>
      <c r="B374" t="s">
        <v>102</v>
      </c>
      <c r="C374" s="62">
        <f>VLOOKUP(B374,合并仓明细!$D$2:$F$74,3,0)</f>
        <v>76</v>
      </c>
      <c r="D374" t="s">
        <v>393</v>
      </c>
      <c r="E374" t="s">
        <v>277</v>
      </c>
      <c r="F374" t="s">
        <v>66</v>
      </c>
      <c r="G374">
        <v>3850.5391666199994</v>
      </c>
      <c r="H374"/>
      <c r="I374" s="38"/>
      <c r="J374" s="38"/>
      <c r="K374" s="38"/>
      <c r="L374" s="37"/>
      <c r="M374" s="37"/>
      <c r="N374" s="38">
        <f t="shared" si="5"/>
        <v>0</v>
      </c>
    </row>
    <row r="375" spans="1:14" x14ac:dyDescent="0.25">
      <c r="A375" s="1" t="s">
        <v>99</v>
      </c>
      <c r="B375" t="s">
        <v>102</v>
      </c>
      <c r="C375" s="62">
        <f>VLOOKUP(B375,合并仓明细!$D$2:$F$74,3,0)</f>
        <v>76</v>
      </c>
      <c r="D375" t="s">
        <v>393</v>
      </c>
      <c r="E375" t="s">
        <v>278</v>
      </c>
      <c r="F375" t="s">
        <v>66</v>
      </c>
      <c r="G375">
        <v>5.5</v>
      </c>
      <c r="H375">
        <v>5.4999999999999997E-3</v>
      </c>
      <c r="L375" s="37">
        <f>IF(H375&gt;30,QUOTIENT(H375,30)*VLOOKUP(D375,'报价表-配送'!$B$2:$I$6,8,0),0)+IF(AND(MOD(H375,30)&gt;18,MOD(H375,30)&lt;=30),1,0)*VLOOKUP(D375,'报价表-配送'!$B$2:$I$6,8,0)+IF(AND(MOD(H375,30)&gt;8,MOD(H375,30)&lt;=18),1*VLOOKUP(D375,'报价表-配送'!$B$2:$I$6,7,0),0)+IF(AND(MOD(H375,30)&lt;=8,MOD(H375,30)&gt;2.5),1,0)*VLOOKUP(D375,'报价表-配送'!$B$2:$I$6,6,0)+IF(AND(MOD(H375,30)&lt;=2.5,MOD(H375,30)&gt;=1.5),1,0)*VLOOKUP(D375,'报价表-配送'!$B$2:$I$6,5,0)</f>
        <v>0</v>
      </c>
      <c r="M375" s="39">
        <f>IF(AND(MOD(H375,30)&lt;1.5,MOD(H375,30)&gt;=0.5),H375,0)*VLOOKUP(D375,'报价表-配送'!$B$2:$I$6,4,0)*1000+IF(AND(MOD(H375,30)&lt;0.5,MOD(H375,30)&gt;=0.02),H375,0)*VLOOKUP(D375,'报价表-配送'!$B$2:$I$6,3,0)*1000+IF(AND(MOD(H375,30)&lt;0.02),H375,0)*VLOOKUP(D375,'报价表-配送'!$B$2:$I$6,2,0)*1000</f>
        <v>0</v>
      </c>
      <c r="N375" s="38">
        <f t="shared" si="5"/>
        <v>0</v>
      </c>
    </row>
    <row r="376" spans="1:14" x14ac:dyDescent="0.25">
      <c r="A376" s="1" t="s">
        <v>99</v>
      </c>
      <c r="B376" t="s">
        <v>102</v>
      </c>
      <c r="C376" s="62">
        <f>VLOOKUP(B376,合并仓明细!$D$2:$F$74,3,0)</f>
        <v>76</v>
      </c>
      <c r="D376" t="s">
        <v>393</v>
      </c>
      <c r="E376" t="s">
        <v>279</v>
      </c>
      <c r="F376" t="s">
        <v>68</v>
      </c>
      <c r="G376">
        <v>1506.6960000000001</v>
      </c>
      <c r="H376">
        <v>3.2362762434000008</v>
      </c>
      <c r="I376" s="46">
        <f>ROUNDUP(H376/30,0)*VLOOKUP(D376,'报价表-配送'!$B$2:$I$6,8,0)</f>
        <v>0</v>
      </c>
      <c r="J376" s="38"/>
      <c r="K376" s="38"/>
      <c r="L376" s="37"/>
      <c r="M376" s="37"/>
      <c r="N376" s="38">
        <f t="shared" si="5"/>
        <v>0</v>
      </c>
    </row>
    <row r="377" spans="1:14" x14ac:dyDescent="0.25">
      <c r="A377" s="1" t="s">
        <v>99</v>
      </c>
      <c r="B377" t="s">
        <v>102</v>
      </c>
      <c r="C377" s="62">
        <f>VLOOKUP(B377,合并仓明细!$D$2:$F$74,3,0)</f>
        <v>76</v>
      </c>
      <c r="D377" t="s">
        <v>393</v>
      </c>
      <c r="E377" t="s">
        <v>279</v>
      </c>
      <c r="F377" t="s">
        <v>67</v>
      </c>
      <c r="G377">
        <v>150.19445999999999</v>
      </c>
      <c r="H377"/>
      <c r="N377" s="38">
        <f t="shared" si="5"/>
        <v>0</v>
      </c>
    </row>
    <row r="378" spans="1:14" x14ac:dyDescent="0.25">
      <c r="A378" s="1" t="s">
        <v>99</v>
      </c>
      <c r="B378" t="s">
        <v>102</v>
      </c>
      <c r="C378" s="62">
        <f>VLOOKUP(B378,合并仓明细!$D$2:$F$74,3,0)</f>
        <v>76</v>
      </c>
      <c r="D378" t="s">
        <v>393</v>
      </c>
      <c r="E378" t="s">
        <v>279</v>
      </c>
      <c r="F378" t="s">
        <v>66</v>
      </c>
      <c r="G378">
        <v>1579.3857834000005</v>
      </c>
      <c r="H378"/>
      <c r="I378" s="38"/>
      <c r="J378" s="38"/>
      <c r="K378" s="38"/>
      <c r="L378" s="37"/>
      <c r="M378" s="37"/>
      <c r="N378" s="38">
        <f t="shared" si="5"/>
        <v>0</v>
      </c>
    </row>
    <row r="379" spans="1:14" x14ac:dyDescent="0.25">
      <c r="A379" s="1" t="s">
        <v>99</v>
      </c>
      <c r="B379" t="s">
        <v>102</v>
      </c>
      <c r="C379" s="62">
        <f>VLOOKUP(B379,合并仓明细!$D$2:$F$74,3,0)</f>
        <v>76</v>
      </c>
      <c r="D379" t="s">
        <v>393</v>
      </c>
      <c r="E379" t="s">
        <v>280</v>
      </c>
      <c r="F379" t="s">
        <v>68</v>
      </c>
      <c r="G379">
        <v>4625.6159999999991</v>
      </c>
      <c r="H379">
        <v>11.030119583389999</v>
      </c>
      <c r="I379" s="46">
        <f>ROUNDUP(H379/30,0)*VLOOKUP(D379,'报价表-配送'!$B$2:$I$6,8,0)</f>
        <v>0</v>
      </c>
      <c r="N379" s="38">
        <f t="shared" si="5"/>
        <v>0</v>
      </c>
    </row>
    <row r="380" spans="1:14" x14ac:dyDescent="0.25">
      <c r="A380" s="1" t="s">
        <v>99</v>
      </c>
      <c r="B380" t="s">
        <v>102</v>
      </c>
      <c r="C380" s="62">
        <f>VLOOKUP(B380,合并仓明细!$D$2:$F$74,3,0)</f>
        <v>76</v>
      </c>
      <c r="D380" t="s">
        <v>393</v>
      </c>
      <c r="E380" t="s">
        <v>280</v>
      </c>
      <c r="F380" t="s">
        <v>67</v>
      </c>
      <c r="G380">
        <v>5322.3225119999997</v>
      </c>
      <c r="H380"/>
      <c r="N380" s="38">
        <f t="shared" si="5"/>
        <v>0</v>
      </c>
    </row>
    <row r="381" spans="1:14" x14ac:dyDescent="0.25">
      <c r="A381" s="1" t="s">
        <v>99</v>
      </c>
      <c r="B381" t="s">
        <v>102</v>
      </c>
      <c r="C381" s="62">
        <f>VLOOKUP(B381,合并仓明细!$D$2:$F$74,3,0)</f>
        <v>76</v>
      </c>
      <c r="D381" t="s">
        <v>393</v>
      </c>
      <c r="E381" t="s">
        <v>280</v>
      </c>
      <c r="F381" t="s">
        <v>66</v>
      </c>
      <c r="G381">
        <v>1082.1810713900002</v>
      </c>
      <c r="H381"/>
      <c r="N381" s="38">
        <f t="shared" si="5"/>
        <v>0</v>
      </c>
    </row>
    <row r="382" spans="1:14" x14ac:dyDescent="0.25">
      <c r="A382" s="1" t="s">
        <v>99</v>
      </c>
      <c r="B382" t="s">
        <v>102</v>
      </c>
      <c r="C382" s="62">
        <f>VLOOKUP(B382,合并仓明细!$D$2:$F$74,3,0)</f>
        <v>76</v>
      </c>
      <c r="D382" t="s">
        <v>393</v>
      </c>
      <c r="E382" t="s">
        <v>281</v>
      </c>
      <c r="F382" t="s">
        <v>68</v>
      </c>
      <c r="G382">
        <v>1742.2084799999998</v>
      </c>
      <c r="H382">
        <v>3.9614590819199993</v>
      </c>
      <c r="I382" s="46">
        <f>ROUNDUP(H382/30,0)*VLOOKUP(D382,'报价表-配送'!$B$2:$I$6,8,0)</f>
        <v>0</v>
      </c>
      <c r="N382" s="38">
        <f t="shared" si="5"/>
        <v>0</v>
      </c>
    </row>
    <row r="383" spans="1:14" x14ac:dyDescent="0.25">
      <c r="A383" s="1" t="s">
        <v>99</v>
      </c>
      <c r="B383" t="s">
        <v>102</v>
      </c>
      <c r="C383" s="62">
        <f>VLOOKUP(B383,合并仓明细!$D$2:$F$74,3,0)</f>
        <v>76</v>
      </c>
      <c r="D383" t="s">
        <v>393</v>
      </c>
      <c r="E383" t="s">
        <v>281</v>
      </c>
      <c r="F383" t="s">
        <v>67</v>
      </c>
      <c r="G383">
        <v>802.96135199999992</v>
      </c>
      <c r="H383"/>
      <c r="N383" s="38">
        <f t="shared" si="5"/>
        <v>0</v>
      </c>
    </row>
    <row r="384" spans="1:14" x14ac:dyDescent="0.25">
      <c r="A384" s="1" t="s">
        <v>99</v>
      </c>
      <c r="B384" t="s">
        <v>102</v>
      </c>
      <c r="C384" s="62">
        <f>VLOOKUP(B384,合并仓明细!$D$2:$F$74,3,0)</f>
        <v>76</v>
      </c>
      <c r="D384" t="s">
        <v>393</v>
      </c>
      <c r="E384" t="s">
        <v>281</v>
      </c>
      <c r="F384" t="s">
        <v>66</v>
      </c>
      <c r="G384">
        <v>1416.2892499199997</v>
      </c>
      <c r="H384"/>
      <c r="N384" s="38">
        <f t="shared" si="5"/>
        <v>0</v>
      </c>
    </row>
    <row r="385" spans="1:15" x14ac:dyDescent="0.25">
      <c r="A385" s="1" t="s">
        <v>99</v>
      </c>
      <c r="B385" t="s">
        <v>102</v>
      </c>
      <c r="C385" s="62">
        <f>VLOOKUP(B385,合并仓明细!$D$2:$F$74,3,0)</f>
        <v>76</v>
      </c>
      <c r="D385" t="s">
        <v>393</v>
      </c>
      <c r="E385" t="s">
        <v>282</v>
      </c>
      <c r="F385" t="s">
        <v>67</v>
      </c>
      <c r="G385">
        <v>30.038892000000001</v>
      </c>
      <c r="H385">
        <v>3.715121391969999</v>
      </c>
      <c r="I385" s="38">
        <f>IF(H385&gt;30,QUOTIENT(H385,30)*VLOOKUP(D385,'报价表-配送'!$B$2:$I$6,8,0),0)+IF(AND(MOD(H385,30)&gt;18,MOD(H385,30)&lt;=30),1,0)*VLOOKUP(D385,'报价表-配送'!$B$2:$I$6,8,0)</f>
        <v>0</v>
      </c>
      <c r="J385" s="38">
        <f>IF(AND(MOD(H385,30)&gt;8,MOD(H385,30)&lt;=18),1*VLOOKUP(D385,'报价表-配送'!$B$2:$I$6,7,0),0)</f>
        <v>0</v>
      </c>
      <c r="K385" s="38">
        <f>IF(AND(MOD(H385,30)&lt;=8,MOD(H385,30)&gt;0),1,0)*VLOOKUP(D385,'报价表-配送'!$B$2:$I$6,6,0)</f>
        <v>0</v>
      </c>
      <c r="N385" s="38">
        <f t="shared" si="5"/>
        <v>0</v>
      </c>
    </row>
    <row r="386" spans="1:15" x14ac:dyDescent="0.25">
      <c r="A386" s="1" t="s">
        <v>99</v>
      </c>
      <c r="B386" t="s">
        <v>102</v>
      </c>
      <c r="C386" s="62">
        <f>VLOOKUP(B386,合并仓明细!$D$2:$F$74,3,0)</f>
        <v>76</v>
      </c>
      <c r="D386" t="s">
        <v>393</v>
      </c>
      <c r="E386" t="s">
        <v>282</v>
      </c>
      <c r="F386" t="s">
        <v>66</v>
      </c>
      <c r="G386">
        <v>3685.0824999699989</v>
      </c>
      <c r="H386"/>
      <c r="I386" s="38"/>
      <c r="J386" s="38"/>
      <c r="K386" s="38"/>
      <c r="L386" s="37"/>
      <c r="M386" s="37"/>
      <c r="N386" s="38">
        <f t="shared" si="5"/>
        <v>0</v>
      </c>
    </row>
    <row r="387" spans="1:15" x14ac:dyDescent="0.25">
      <c r="A387" s="1" t="s">
        <v>99</v>
      </c>
      <c r="B387" t="s">
        <v>102</v>
      </c>
      <c r="C387" s="62">
        <f>VLOOKUP(B387,合并仓明细!$D$2:$F$74,3,0)</f>
        <v>76</v>
      </c>
      <c r="D387" t="s">
        <v>393</v>
      </c>
      <c r="E387" t="s">
        <v>283</v>
      </c>
      <c r="F387" t="s">
        <v>66</v>
      </c>
      <c r="G387">
        <v>799.0583332299999</v>
      </c>
      <c r="H387">
        <v>0.79905833322999986</v>
      </c>
      <c r="L387" s="37">
        <f>IF(H387&gt;30,QUOTIENT(H387,30)*VLOOKUP(D387,'报价表-配送'!$B$2:$I$6,8,0),0)+IF(AND(MOD(H387,30)&gt;18,MOD(H387,30)&lt;=30),1,0)*VLOOKUP(D387,'报价表-配送'!$B$2:$I$6,8,0)+IF(AND(MOD(H387,30)&gt;8,MOD(H387,30)&lt;=18),1*VLOOKUP(D387,'报价表-配送'!$B$2:$I$6,7,0),0)+IF(AND(MOD(H387,30)&lt;=8,MOD(H387,30)&gt;2.5),1,0)*VLOOKUP(D387,'报价表-配送'!$B$2:$I$6,6,0)+IF(AND(MOD(H387,30)&lt;=2.5,MOD(H387,30)&gt;=1.5),1,0)*VLOOKUP(D387,'报价表-配送'!$B$2:$I$6,5,0)</f>
        <v>0</v>
      </c>
      <c r="M387" s="39">
        <f>IF(AND(MOD(H387,30)&lt;1.5,MOD(H387,30)&gt;=0.5),H387,0)*VLOOKUP(D387,'报价表-配送'!$B$2:$I$6,4,0)*1000+IF(AND(MOD(H387,30)&lt;0.5,MOD(H387,30)&gt;=0.02),H387,0)*VLOOKUP(D387,'报价表-配送'!$B$2:$I$6,3,0)*1000+IF(AND(MOD(H387,30)&lt;0.02),H387,0)*VLOOKUP(D387,'报价表-配送'!$B$2:$I$6,2,0)*1000</f>
        <v>0</v>
      </c>
      <c r="N387" s="38">
        <f t="shared" si="5"/>
        <v>0</v>
      </c>
    </row>
    <row r="388" spans="1:15" x14ac:dyDescent="0.25">
      <c r="A388" s="1" t="s">
        <v>99</v>
      </c>
      <c r="B388" t="s">
        <v>102</v>
      </c>
      <c r="C388" s="62">
        <f>VLOOKUP(B388,合并仓明细!$D$2:$F$74,3,0)</f>
        <v>76</v>
      </c>
      <c r="D388" t="s">
        <v>393</v>
      </c>
      <c r="E388" t="s">
        <v>284</v>
      </c>
      <c r="F388" t="s">
        <v>66</v>
      </c>
      <c r="G388">
        <v>373.77666665000004</v>
      </c>
      <c r="H388">
        <v>0.37377666665000003</v>
      </c>
      <c r="I388" s="38"/>
      <c r="J388" s="38"/>
      <c r="K388" s="38"/>
      <c r="L388" s="37">
        <f>IF(H388&gt;30,QUOTIENT(H388,30)*VLOOKUP(D388,'报价表-配送'!$B$2:$I$6,8,0),0)+IF(AND(MOD(H388,30)&gt;18,MOD(H388,30)&lt;=30),1,0)*VLOOKUP(D388,'报价表-配送'!$B$2:$I$6,8,0)+IF(AND(MOD(H388,30)&gt;8,MOD(H388,30)&lt;=18),1*VLOOKUP(D388,'报价表-配送'!$B$2:$I$6,7,0),0)+IF(AND(MOD(H388,30)&lt;=8,MOD(H388,30)&gt;2.5),1,0)*VLOOKUP(D388,'报价表-配送'!$B$2:$I$6,6,0)+IF(AND(MOD(H388,30)&lt;=2.5,MOD(H388,30)&gt;=1.5),1,0)*VLOOKUP(D388,'报价表-配送'!$B$2:$I$6,5,0)</f>
        <v>0</v>
      </c>
      <c r="M388" s="39">
        <f>IF(AND(MOD(H388,30)&lt;1.5,MOD(H388,30)&gt;=0.5),H388,0)*VLOOKUP(D388,'报价表-配送'!$B$2:$I$6,4,0)*1000+IF(AND(MOD(H388,30)&lt;0.5,MOD(H388,30)&gt;=0.02),H388,0)*VLOOKUP(D388,'报价表-配送'!$B$2:$I$6,3,0)*1000+IF(AND(MOD(H388,30)&lt;0.02),H388,0)*VLOOKUP(D388,'报价表-配送'!$B$2:$I$6,2,0)*1000</f>
        <v>0</v>
      </c>
      <c r="N388" s="38">
        <f t="shared" si="5"/>
        <v>0</v>
      </c>
    </row>
    <row r="389" spans="1:15" x14ac:dyDescent="0.25">
      <c r="A389" s="1" t="s">
        <v>99</v>
      </c>
      <c r="B389" t="s">
        <v>102</v>
      </c>
      <c r="C389" s="62">
        <f>VLOOKUP(B389,合并仓明细!$D$2:$F$74,3,0)</f>
        <v>76</v>
      </c>
      <c r="D389" t="s">
        <v>393</v>
      </c>
      <c r="E389" t="s">
        <v>285</v>
      </c>
      <c r="F389" t="s">
        <v>68</v>
      </c>
      <c r="G389">
        <v>1222.03548</v>
      </c>
      <c r="H389">
        <v>2.4816784799699998</v>
      </c>
      <c r="I389" s="46">
        <f>ROUNDUP(H389/30,0)*VLOOKUP(D389,'报价表-配送'!$B$2:$I$6,8,0)</f>
        <v>0</v>
      </c>
      <c r="N389" s="38">
        <f t="shared" si="5"/>
        <v>0</v>
      </c>
    </row>
    <row r="390" spans="1:15" x14ac:dyDescent="0.25">
      <c r="A390" s="1" t="s">
        <v>99</v>
      </c>
      <c r="B390" t="s">
        <v>102</v>
      </c>
      <c r="C390" s="62">
        <f>VLOOKUP(B390,合并仓明细!$D$2:$F$74,3,0)</f>
        <v>76</v>
      </c>
      <c r="D390" t="s">
        <v>393</v>
      </c>
      <c r="E390" t="s">
        <v>285</v>
      </c>
      <c r="F390" t="s">
        <v>67</v>
      </c>
      <c r="G390">
        <v>810</v>
      </c>
      <c r="H390"/>
      <c r="L390" s="37"/>
      <c r="M390" s="39"/>
      <c r="N390" s="38">
        <f t="shared" si="5"/>
        <v>0</v>
      </c>
    </row>
    <row r="391" spans="1:15" x14ac:dyDescent="0.25">
      <c r="A391" s="1" t="s">
        <v>99</v>
      </c>
      <c r="B391" t="s">
        <v>102</v>
      </c>
      <c r="C391" s="62">
        <f>VLOOKUP(B391,合并仓明细!$D$2:$F$74,3,0)</f>
        <v>76</v>
      </c>
      <c r="D391" t="s">
        <v>393</v>
      </c>
      <c r="E391" t="s">
        <v>285</v>
      </c>
      <c r="F391" t="s">
        <v>66</v>
      </c>
      <c r="G391">
        <v>449.64299996999983</v>
      </c>
      <c r="H391"/>
      <c r="N391" s="38">
        <f t="shared" si="5"/>
        <v>0</v>
      </c>
    </row>
    <row r="392" spans="1:15" x14ac:dyDescent="0.25">
      <c r="A392" s="1" t="s">
        <v>99</v>
      </c>
      <c r="B392" t="s">
        <v>102</v>
      </c>
      <c r="C392" s="62">
        <f>VLOOKUP(B392,合并仓明细!$D$2:$F$74,3,0)</f>
        <v>76</v>
      </c>
      <c r="D392" t="s">
        <v>393</v>
      </c>
      <c r="E392" t="s">
        <v>286</v>
      </c>
      <c r="F392" t="s">
        <v>66</v>
      </c>
      <c r="G392">
        <v>8.0400000000000009</v>
      </c>
      <c r="H392">
        <v>8.0400000000000003E-3</v>
      </c>
      <c r="L392" s="37">
        <f>IF(H392&gt;30,QUOTIENT(H392,30)*VLOOKUP(D392,'报价表-配送'!$B$2:$I$6,8,0),0)+IF(AND(MOD(H392,30)&gt;18,MOD(H392,30)&lt;=30),1,0)*VLOOKUP(D392,'报价表-配送'!$B$2:$I$6,8,0)+IF(AND(MOD(H392,30)&gt;8,MOD(H392,30)&lt;=18),1*VLOOKUP(D392,'报价表-配送'!$B$2:$I$6,7,0),0)+IF(AND(MOD(H392,30)&lt;=8,MOD(H392,30)&gt;2.5),1,0)*VLOOKUP(D392,'报价表-配送'!$B$2:$I$6,6,0)+IF(AND(MOD(H392,30)&lt;=2.5,MOD(H392,30)&gt;=1.5),1,0)*VLOOKUP(D392,'报价表-配送'!$B$2:$I$6,5,0)</f>
        <v>0</v>
      </c>
      <c r="M392" s="39">
        <f>IF(AND(MOD(H392,30)&lt;1.5,MOD(H392,30)&gt;=0.5),H392,0)*VLOOKUP(D392,'报价表-配送'!$B$2:$I$6,4,0)*1000+IF(AND(MOD(H392,30)&lt;0.5,MOD(H392,30)&gt;=0.02),H392,0)*VLOOKUP(D392,'报价表-配送'!$B$2:$I$6,3,0)*1000+IF(AND(MOD(H392,30)&lt;0.02),H392,0)*VLOOKUP(D392,'报价表-配送'!$B$2:$I$6,2,0)*1000</f>
        <v>0</v>
      </c>
      <c r="N392" s="38">
        <f t="shared" si="5"/>
        <v>0</v>
      </c>
    </row>
    <row r="393" spans="1:15" x14ac:dyDescent="0.25">
      <c r="A393" s="1" t="s">
        <v>99</v>
      </c>
      <c r="B393" t="s">
        <v>102</v>
      </c>
      <c r="C393" s="62">
        <f>VLOOKUP(B393,合并仓明细!$D$2:$F$74,3,0)</f>
        <v>76</v>
      </c>
      <c r="D393" t="s">
        <v>393</v>
      </c>
      <c r="E393" t="s">
        <v>287</v>
      </c>
      <c r="F393" t="s">
        <v>68</v>
      </c>
      <c r="G393">
        <v>2585.0674800000002</v>
      </c>
      <c r="H393">
        <v>7.4944954808600004</v>
      </c>
      <c r="I393" s="46">
        <f>ROUNDUP(H393/30,0)*VLOOKUP(D393,'报价表-配送'!$B$2:$I$6,8,0)</f>
        <v>0</v>
      </c>
      <c r="N393" s="38">
        <f t="shared" si="5"/>
        <v>0</v>
      </c>
    </row>
    <row r="394" spans="1:15" x14ac:dyDescent="0.25">
      <c r="A394" s="1" t="s">
        <v>99</v>
      </c>
      <c r="B394" t="s">
        <v>102</v>
      </c>
      <c r="C394" s="62">
        <f>VLOOKUP(B394,合并仓明细!$D$2:$F$74,3,0)</f>
        <v>76</v>
      </c>
      <c r="D394" t="s">
        <v>393</v>
      </c>
      <c r="E394" t="s">
        <v>287</v>
      </c>
      <c r="F394" t="s">
        <v>67</v>
      </c>
      <c r="G394">
        <v>4184.3306200000006</v>
      </c>
      <c r="H394"/>
      <c r="N394" s="38">
        <f t="shared" si="5"/>
        <v>0</v>
      </c>
    </row>
    <row r="395" spans="1:15" x14ac:dyDescent="0.25">
      <c r="A395" s="1" t="s">
        <v>99</v>
      </c>
      <c r="B395" t="s">
        <v>102</v>
      </c>
      <c r="C395" s="62">
        <f>VLOOKUP(B395,合并仓明细!$D$2:$F$74,3,0)</f>
        <v>76</v>
      </c>
      <c r="D395" t="s">
        <v>393</v>
      </c>
      <c r="E395" t="s">
        <v>287</v>
      </c>
      <c r="F395" t="s">
        <v>66</v>
      </c>
      <c r="G395">
        <v>725.09738086000004</v>
      </c>
      <c r="H395"/>
      <c r="N395" s="38">
        <f t="shared" si="5"/>
        <v>0</v>
      </c>
    </row>
    <row r="396" spans="1:15" x14ac:dyDescent="0.25">
      <c r="A396" s="1" t="s">
        <v>99</v>
      </c>
      <c r="B396" t="s">
        <v>102</v>
      </c>
      <c r="C396" s="62">
        <f>VLOOKUP(B396,合并仓明细!$D$2:$F$74,3,0)</f>
        <v>76</v>
      </c>
      <c r="D396" t="s">
        <v>393</v>
      </c>
      <c r="E396" t="s">
        <v>288</v>
      </c>
      <c r="F396" t="s">
        <v>66</v>
      </c>
      <c r="G396">
        <v>404.60000000000008</v>
      </c>
      <c r="H396">
        <v>0.40460000000000007</v>
      </c>
      <c r="L396" s="37">
        <f>IF(H396&gt;30,QUOTIENT(H396,30)*VLOOKUP(D396,'报价表-配送'!$B$2:$I$6,8,0),0)+IF(AND(MOD(H396,30)&gt;18,MOD(H396,30)&lt;=30),1,0)*VLOOKUP(D396,'报价表-配送'!$B$2:$I$6,8,0)+IF(AND(MOD(H396,30)&gt;8,MOD(H396,30)&lt;=18),1*VLOOKUP(D396,'报价表-配送'!$B$2:$I$6,7,0),0)+IF(AND(MOD(H396,30)&lt;=8,MOD(H396,30)&gt;2.5),1,0)*VLOOKUP(D396,'报价表-配送'!$B$2:$I$6,6,0)+IF(AND(MOD(H396,30)&lt;=2.5,MOD(H396,30)&gt;=1.5),1,0)*VLOOKUP(D396,'报价表-配送'!$B$2:$I$6,5,0)</f>
        <v>0</v>
      </c>
      <c r="M396" s="39">
        <f>IF(AND(MOD(H396,30)&lt;1.5,MOD(H396,30)&gt;=0.5),H396,0)*VLOOKUP(D396,'报价表-配送'!$B$2:$I$6,4,0)*1000+IF(AND(MOD(H396,30)&lt;0.5,MOD(H396,30)&gt;=0.02),H396,0)*VLOOKUP(D396,'报价表-配送'!$B$2:$I$6,3,0)*1000+IF(AND(MOD(H396,30)&lt;0.02),H396,0)*VLOOKUP(D396,'报价表-配送'!$B$2:$I$6,2,0)*1000</f>
        <v>0</v>
      </c>
      <c r="N396" s="38">
        <f t="shared" ref="N396:N459" si="6">SUM(I396:M396)</f>
        <v>0</v>
      </c>
    </row>
    <row r="397" spans="1:15" x14ac:dyDescent="0.25">
      <c r="A397" s="56" t="s">
        <v>99</v>
      </c>
      <c r="B397" s="50" t="s">
        <v>102</v>
      </c>
      <c r="C397" s="62">
        <f>VLOOKUP(B397,合并仓明细!$D$2:$F$74,3,0)</f>
        <v>76</v>
      </c>
      <c r="D397" t="s">
        <v>393</v>
      </c>
      <c r="E397" s="41" t="s">
        <v>289</v>
      </c>
      <c r="F397" s="40" t="s">
        <v>68</v>
      </c>
      <c r="G397" s="37">
        <v>3502.5480000000002</v>
      </c>
      <c r="H397" s="37">
        <v>4.9793610304399998</v>
      </c>
      <c r="I397" s="46">
        <f>ROUNDUP(H397/30,0)*VLOOKUP(D397,'报价表-配送'!$B$2:$I$6,8,0)</f>
        <v>0</v>
      </c>
      <c r="J397" s="38"/>
      <c r="K397" s="38"/>
      <c r="L397" s="37"/>
      <c r="M397" s="37"/>
      <c r="N397" s="38">
        <f t="shared" si="6"/>
        <v>0</v>
      </c>
      <c r="O397" s="37"/>
    </row>
    <row r="398" spans="1:15" x14ac:dyDescent="0.25">
      <c r="A398" s="56" t="s">
        <v>99</v>
      </c>
      <c r="B398" s="50" t="s">
        <v>102</v>
      </c>
      <c r="C398" s="62">
        <f>VLOOKUP(B398,合并仓明细!$D$2:$F$74,3,0)</f>
        <v>76</v>
      </c>
      <c r="D398" t="s">
        <v>393</v>
      </c>
      <c r="E398" s="41" t="s">
        <v>289</v>
      </c>
      <c r="F398" s="40" t="s">
        <v>66</v>
      </c>
      <c r="G398" s="37">
        <v>1476.8130304399999</v>
      </c>
      <c r="H398" s="37"/>
      <c r="I398" s="38"/>
      <c r="J398" s="38"/>
      <c r="K398" s="38"/>
      <c r="L398" s="37"/>
      <c r="M398" s="37"/>
      <c r="N398" s="38">
        <f t="shared" si="6"/>
        <v>0</v>
      </c>
      <c r="O398" s="37"/>
    </row>
    <row r="399" spans="1:15" x14ac:dyDescent="0.25">
      <c r="A399" s="56" t="s">
        <v>99</v>
      </c>
      <c r="B399" s="50" t="s">
        <v>102</v>
      </c>
      <c r="C399" s="62">
        <f>VLOOKUP(B399,合并仓明细!$D$2:$F$74,3,0)</f>
        <v>76</v>
      </c>
      <c r="D399" t="s">
        <v>393</v>
      </c>
      <c r="E399" s="41" t="s">
        <v>290</v>
      </c>
      <c r="F399" s="40" t="s">
        <v>67</v>
      </c>
      <c r="G399" s="37">
        <v>810</v>
      </c>
      <c r="H399" s="38">
        <v>0.87531999999999999</v>
      </c>
      <c r="I399" s="38">
        <f>IF(H399&gt;30,QUOTIENT(H399,30)*VLOOKUP(D399,'报价表-配送'!$B$2:$I$6,8,0),0)+IF(AND(MOD(H399,30)&gt;18,MOD(H399,30)&lt;=30),1,0)*VLOOKUP(D399,'报价表-配送'!$B$2:$I$6,8,0)</f>
        <v>0</v>
      </c>
      <c r="J399" s="38">
        <f>IF(AND(MOD(H399,30)&gt;8,MOD(H399,30)&lt;=18),1*VLOOKUP(D399,'报价表-配送'!$B$2:$I$6,7,0),0)</f>
        <v>0</v>
      </c>
      <c r="K399" s="38">
        <f>IF(AND(MOD(H399,30)&lt;=8,MOD(H399,30)&gt;0),1,0)*VLOOKUP(D399,'报价表-配送'!$B$2:$I$6,6,0)</f>
        <v>0</v>
      </c>
      <c r="M399" s="39"/>
      <c r="N399" s="38">
        <f t="shared" si="6"/>
        <v>0</v>
      </c>
      <c r="O399" s="37"/>
    </row>
    <row r="400" spans="1:15" x14ac:dyDescent="0.25">
      <c r="A400" s="56" t="s">
        <v>99</v>
      </c>
      <c r="B400" s="50" t="s">
        <v>102</v>
      </c>
      <c r="C400" s="62">
        <f>VLOOKUP(B400,合并仓明细!$D$2:$F$74,3,0)</f>
        <v>76</v>
      </c>
      <c r="D400" t="s">
        <v>393</v>
      </c>
      <c r="E400" s="41" t="s">
        <v>290</v>
      </c>
      <c r="F400" s="40" t="s">
        <v>66</v>
      </c>
      <c r="G400" s="37">
        <v>65.319999999999993</v>
      </c>
      <c r="H400" s="38"/>
      <c r="I400" s="37"/>
      <c r="J400" s="37"/>
      <c r="K400" s="37"/>
      <c r="L400" s="37"/>
      <c r="M400" s="39"/>
      <c r="N400" s="38">
        <f t="shared" si="6"/>
        <v>0</v>
      </c>
      <c r="O400" s="37"/>
    </row>
    <row r="401" spans="1:15" x14ac:dyDescent="0.25">
      <c r="A401" s="56" t="s">
        <v>99</v>
      </c>
      <c r="B401" s="50" t="s">
        <v>102</v>
      </c>
      <c r="C401" s="62">
        <f>VLOOKUP(B401,合并仓明细!$D$2:$F$74,3,0)</f>
        <v>76</v>
      </c>
      <c r="D401" t="s">
        <v>393</v>
      </c>
      <c r="E401" s="41" t="s">
        <v>291</v>
      </c>
      <c r="F401" s="40" t="s">
        <v>68</v>
      </c>
      <c r="G401" s="37">
        <v>2252.3454000000002</v>
      </c>
      <c r="H401" s="38">
        <v>3.6744037428</v>
      </c>
      <c r="I401" s="46">
        <f>ROUNDUP(H401/30,0)*VLOOKUP(D401,'报价表-配送'!$B$2:$I$6,8,0)</f>
        <v>0</v>
      </c>
      <c r="J401" s="37"/>
      <c r="K401" s="37"/>
      <c r="L401" s="37"/>
      <c r="M401" s="39"/>
      <c r="N401" s="38">
        <f t="shared" si="6"/>
        <v>0</v>
      </c>
      <c r="O401" s="37"/>
    </row>
    <row r="402" spans="1:15" x14ac:dyDescent="0.25">
      <c r="A402" s="56" t="s">
        <v>99</v>
      </c>
      <c r="B402" s="50" t="s">
        <v>102</v>
      </c>
      <c r="C402" s="62">
        <f>VLOOKUP(B402,合并仓明细!$D$2:$F$74,3,0)</f>
        <v>76</v>
      </c>
      <c r="D402" t="s">
        <v>393</v>
      </c>
      <c r="E402" s="41" t="s">
        <v>291</v>
      </c>
      <c r="F402" s="40" t="s">
        <v>67</v>
      </c>
      <c r="G402" s="37">
        <v>130.125</v>
      </c>
      <c r="H402" s="38"/>
      <c r="I402" s="37"/>
      <c r="J402" s="37"/>
      <c r="K402" s="37"/>
      <c r="L402" s="37"/>
      <c r="M402" s="39"/>
      <c r="N402" s="38">
        <f t="shared" si="6"/>
        <v>0</v>
      </c>
      <c r="O402" s="37"/>
    </row>
    <row r="403" spans="1:15" x14ac:dyDescent="0.25">
      <c r="A403" s="56" t="s">
        <v>99</v>
      </c>
      <c r="B403" s="41" t="s">
        <v>102</v>
      </c>
      <c r="C403" s="62">
        <f>VLOOKUP(B403,合并仓明细!$D$2:$F$74,3,0)</f>
        <v>76</v>
      </c>
      <c r="D403" t="s">
        <v>393</v>
      </c>
      <c r="E403" s="41" t="s">
        <v>291</v>
      </c>
      <c r="F403" s="40" t="s">
        <v>66</v>
      </c>
      <c r="G403" s="37">
        <v>1291.9333428</v>
      </c>
      <c r="H403" s="37"/>
      <c r="I403" s="38"/>
      <c r="J403" s="38"/>
      <c r="K403" s="38"/>
      <c r="L403" s="37"/>
      <c r="M403" s="37"/>
      <c r="N403" s="38">
        <f t="shared" si="6"/>
        <v>0</v>
      </c>
      <c r="O403" s="37"/>
    </row>
    <row r="404" spans="1:15" x14ac:dyDescent="0.25">
      <c r="A404" s="56" t="s">
        <v>99</v>
      </c>
      <c r="B404" s="41" t="s">
        <v>102</v>
      </c>
      <c r="C404" s="62">
        <f>VLOOKUP(B404,合并仓明细!$D$2:$F$74,3,0)</f>
        <v>76</v>
      </c>
      <c r="D404" t="s">
        <v>393</v>
      </c>
      <c r="E404" s="41" t="s">
        <v>292</v>
      </c>
      <c r="F404" s="40" t="s">
        <v>66</v>
      </c>
      <c r="G404" s="37">
        <v>40</v>
      </c>
      <c r="H404" s="37">
        <v>0.04</v>
      </c>
      <c r="I404" s="38"/>
      <c r="J404" s="38"/>
      <c r="K404" s="38"/>
      <c r="L404" s="37">
        <f>IF(H404&gt;30,QUOTIENT(H404,30)*VLOOKUP(D404,'报价表-配送'!$B$2:$I$6,8,0),0)+IF(AND(MOD(H404,30)&gt;18,MOD(H404,30)&lt;=30),1,0)*VLOOKUP(D404,'报价表-配送'!$B$2:$I$6,8,0)+IF(AND(MOD(H404,30)&gt;8,MOD(H404,30)&lt;=18),1*VLOOKUP(D404,'报价表-配送'!$B$2:$I$6,7,0),0)+IF(AND(MOD(H404,30)&lt;=8,MOD(H404,30)&gt;2.5),1,0)*VLOOKUP(D404,'报价表-配送'!$B$2:$I$6,6,0)+IF(AND(MOD(H404,30)&lt;=2.5,MOD(H404,30)&gt;=1.5),1,0)*VLOOKUP(D404,'报价表-配送'!$B$2:$I$6,5,0)</f>
        <v>0</v>
      </c>
      <c r="M404" s="39">
        <f>IF(AND(MOD(H404,30)&lt;1.5,MOD(H404,30)&gt;=0.5),H404,0)*VLOOKUP(D404,'报价表-配送'!$B$2:$I$6,4,0)*1000+IF(AND(MOD(H404,30)&lt;0.5,MOD(H404,30)&gt;=0.02),H404,0)*VLOOKUP(D404,'报价表-配送'!$B$2:$I$6,3,0)*1000+IF(AND(MOD(H404,30)&lt;0.02),H404,0)*VLOOKUP(D404,'报价表-配送'!$B$2:$I$6,2,0)*1000</f>
        <v>0</v>
      </c>
      <c r="N404" s="38">
        <f t="shared" si="6"/>
        <v>0</v>
      </c>
      <c r="O404" s="37"/>
    </row>
    <row r="405" spans="1:15" x14ac:dyDescent="0.25">
      <c r="A405" s="56" t="s">
        <v>99</v>
      </c>
      <c r="B405" s="41" t="s">
        <v>102</v>
      </c>
      <c r="C405" s="62">
        <f>VLOOKUP(B405,合并仓明细!$D$2:$F$74,3,0)</f>
        <v>76</v>
      </c>
      <c r="D405" t="s">
        <v>393</v>
      </c>
      <c r="E405" s="41" t="s">
        <v>293</v>
      </c>
      <c r="F405" s="40" t="s">
        <v>67</v>
      </c>
      <c r="G405" s="37">
        <v>2928.1774599999999</v>
      </c>
      <c r="H405" s="38">
        <v>3.6970991266399995</v>
      </c>
      <c r="I405" s="38">
        <f>IF(H405&gt;30,QUOTIENT(H405,30)*VLOOKUP(D405,'报价表-配送'!$B$2:$I$6,8,0),0)+IF(AND(MOD(H405,30)&gt;18,MOD(H405,30)&lt;=30),1,0)*VLOOKUP(D405,'报价表-配送'!$B$2:$I$6,8,0)</f>
        <v>0</v>
      </c>
      <c r="J405" s="38">
        <f>IF(AND(MOD(H405,30)&gt;8,MOD(H405,30)&lt;=18),1*VLOOKUP(D405,'报价表-配送'!$B$2:$I$6,7,0),0)</f>
        <v>0</v>
      </c>
      <c r="K405" s="38">
        <f>IF(AND(MOD(H405,30)&lt;=8,MOD(H405,30)&gt;0),1,0)*VLOOKUP(D405,'报价表-配送'!$B$2:$I$6,6,0)</f>
        <v>0</v>
      </c>
      <c r="M405" s="39"/>
      <c r="N405" s="38">
        <f t="shared" si="6"/>
        <v>0</v>
      </c>
      <c r="O405" s="37"/>
    </row>
    <row r="406" spans="1:15" x14ac:dyDescent="0.25">
      <c r="A406" s="56" t="s">
        <v>99</v>
      </c>
      <c r="B406" s="41" t="s">
        <v>102</v>
      </c>
      <c r="C406" s="62">
        <f>VLOOKUP(B406,合并仓明细!$D$2:$F$74,3,0)</f>
        <v>76</v>
      </c>
      <c r="D406" t="s">
        <v>393</v>
      </c>
      <c r="E406" s="41" t="s">
        <v>293</v>
      </c>
      <c r="F406" s="40" t="s">
        <v>66</v>
      </c>
      <c r="G406" s="37">
        <v>768.92166663999978</v>
      </c>
      <c r="H406" s="38"/>
      <c r="I406" s="37"/>
      <c r="J406" s="37"/>
      <c r="K406" s="37"/>
      <c r="L406" s="37"/>
      <c r="M406" s="39"/>
      <c r="N406" s="38">
        <f t="shared" si="6"/>
        <v>0</v>
      </c>
      <c r="O406" s="37"/>
    </row>
    <row r="407" spans="1:15" x14ac:dyDescent="0.25">
      <c r="A407" s="56" t="s">
        <v>99</v>
      </c>
      <c r="B407" s="41" t="s">
        <v>102</v>
      </c>
      <c r="C407" s="62">
        <f>VLOOKUP(B407,合并仓明细!$D$2:$F$74,3,0)</f>
        <v>76</v>
      </c>
      <c r="D407" t="s">
        <v>393</v>
      </c>
      <c r="E407" s="41" t="s">
        <v>294</v>
      </c>
      <c r="F407" s="40" t="s">
        <v>67</v>
      </c>
      <c r="G407" s="37">
        <v>85.343328</v>
      </c>
      <c r="H407" s="38">
        <v>0.19756832800000002</v>
      </c>
      <c r="I407" s="38">
        <f>IF(H407&gt;30,QUOTIENT(H407,30)*VLOOKUP(D407,'报价表-配送'!$B$2:$I$6,8,0),0)+IF(AND(MOD(H407,30)&gt;18,MOD(H407,30)&lt;=30),1,0)*VLOOKUP(D407,'报价表-配送'!$B$2:$I$6,8,0)</f>
        <v>0</v>
      </c>
      <c r="J407" s="38">
        <f>IF(AND(MOD(H407,30)&gt;8,MOD(H407,30)&lt;=18),1*VLOOKUP(D407,'报价表-配送'!$B$2:$I$6,7,0),0)</f>
        <v>0</v>
      </c>
      <c r="K407" s="38">
        <f>IF(AND(MOD(H407,30)&lt;=8,MOD(H407,30)&gt;0),1,0)*VLOOKUP(D407,'报价表-配送'!$B$2:$I$6,6,0)</f>
        <v>0</v>
      </c>
      <c r="M407" s="39"/>
      <c r="N407" s="38">
        <f t="shared" si="6"/>
        <v>0</v>
      </c>
      <c r="O407" s="37"/>
    </row>
    <row r="408" spans="1:15" x14ac:dyDescent="0.25">
      <c r="A408" s="56" t="s">
        <v>99</v>
      </c>
      <c r="B408" s="41" t="s">
        <v>102</v>
      </c>
      <c r="C408" s="62">
        <f>VLOOKUP(B408,合并仓明细!$D$2:$F$74,3,0)</f>
        <v>76</v>
      </c>
      <c r="D408" t="s">
        <v>393</v>
      </c>
      <c r="E408" s="41" t="s">
        <v>294</v>
      </c>
      <c r="F408" s="40" t="s">
        <v>66</v>
      </c>
      <c r="G408" s="37">
        <v>112.22499999999999</v>
      </c>
      <c r="H408" s="38"/>
      <c r="I408" s="37"/>
      <c r="J408" s="37"/>
      <c r="K408" s="37"/>
      <c r="L408" s="37"/>
      <c r="M408" s="39"/>
      <c r="N408" s="38">
        <f t="shared" si="6"/>
        <v>0</v>
      </c>
      <c r="O408" s="37"/>
    </row>
    <row r="409" spans="1:15" x14ac:dyDescent="0.25">
      <c r="A409" s="56" t="s">
        <v>99</v>
      </c>
      <c r="B409" s="41" t="s">
        <v>102</v>
      </c>
      <c r="C409" s="62">
        <f>VLOOKUP(B409,合并仓明细!$D$2:$F$74,3,0)</f>
        <v>76</v>
      </c>
      <c r="D409" t="s">
        <v>393</v>
      </c>
      <c r="E409" s="41" t="s">
        <v>295</v>
      </c>
      <c r="F409" s="40" t="s">
        <v>68</v>
      </c>
      <c r="G409" s="37">
        <v>511.82594399999999</v>
      </c>
      <c r="H409" s="37">
        <v>3.9260378162999996</v>
      </c>
      <c r="I409" s="46">
        <f>ROUNDUP(H409/30,0)*VLOOKUP(D409,'报价表-配送'!$B$2:$I$6,8,0)</f>
        <v>0</v>
      </c>
      <c r="J409" s="38"/>
      <c r="K409" s="38"/>
      <c r="L409" s="37"/>
      <c r="M409" s="37"/>
      <c r="N409" s="38">
        <f t="shared" si="6"/>
        <v>0</v>
      </c>
      <c r="O409" s="37"/>
    </row>
    <row r="410" spans="1:15" x14ac:dyDescent="0.25">
      <c r="A410" s="56" t="s">
        <v>99</v>
      </c>
      <c r="B410" s="41" t="s">
        <v>102</v>
      </c>
      <c r="C410" s="62">
        <f>VLOOKUP(B410,合并仓明细!$D$2:$F$74,3,0)</f>
        <v>76</v>
      </c>
      <c r="D410" t="s">
        <v>393</v>
      </c>
      <c r="E410" s="41" t="s">
        <v>295</v>
      </c>
      <c r="F410" s="40" t="s">
        <v>67</v>
      </c>
      <c r="G410" s="37">
        <v>1095.3693723000001</v>
      </c>
      <c r="H410" s="37"/>
      <c r="I410" s="38"/>
      <c r="J410" s="38"/>
      <c r="K410" s="38"/>
      <c r="L410" s="37"/>
      <c r="M410" s="37"/>
      <c r="N410" s="38">
        <f t="shared" si="6"/>
        <v>0</v>
      </c>
      <c r="O410" s="37"/>
    </row>
    <row r="411" spans="1:15" x14ac:dyDescent="0.25">
      <c r="A411" s="56" t="s">
        <v>99</v>
      </c>
      <c r="B411" s="41" t="s">
        <v>102</v>
      </c>
      <c r="C411" s="62">
        <f>VLOOKUP(B411,合并仓明细!$D$2:$F$74,3,0)</f>
        <v>76</v>
      </c>
      <c r="D411" t="s">
        <v>393</v>
      </c>
      <c r="E411" s="41" t="s">
        <v>295</v>
      </c>
      <c r="F411" s="40" t="s">
        <v>66</v>
      </c>
      <c r="G411" s="37">
        <v>2318.8424999999997</v>
      </c>
      <c r="H411" s="38"/>
      <c r="I411" s="37"/>
      <c r="J411" s="37"/>
      <c r="K411" s="37"/>
      <c r="L411" s="37"/>
      <c r="M411" s="39"/>
      <c r="N411" s="38">
        <f t="shared" si="6"/>
        <v>0</v>
      </c>
      <c r="O411" s="37"/>
    </row>
    <row r="412" spans="1:15" x14ac:dyDescent="0.25">
      <c r="A412" s="56" t="s">
        <v>99</v>
      </c>
      <c r="B412" s="41" t="s">
        <v>102</v>
      </c>
      <c r="C412" s="62">
        <f>VLOOKUP(B412,合并仓明细!$D$2:$F$74,3,0)</f>
        <v>76</v>
      </c>
      <c r="D412" t="s">
        <v>393</v>
      </c>
      <c r="E412" s="41" t="s">
        <v>296</v>
      </c>
      <c r="F412" s="40" t="s">
        <v>68</v>
      </c>
      <c r="G412" s="37">
        <v>746.95391999999993</v>
      </c>
      <c r="H412" s="38">
        <v>2.0815098185999998</v>
      </c>
      <c r="I412" s="46">
        <f>ROUNDUP(H412/30,0)*VLOOKUP(D412,'报价表-配送'!$B$2:$I$6,8,0)</f>
        <v>0</v>
      </c>
      <c r="J412" s="37"/>
      <c r="K412" s="37"/>
      <c r="L412" s="37"/>
      <c r="M412" s="39"/>
      <c r="N412" s="38">
        <f t="shared" si="6"/>
        <v>0</v>
      </c>
      <c r="O412" s="37"/>
    </row>
    <row r="413" spans="1:15" x14ac:dyDescent="0.25">
      <c r="A413" s="56" t="s">
        <v>99</v>
      </c>
      <c r="B413" s="41" t="s">
        <v>102</v>
      </c>
      <c r="C413" s="62">
        <f>VLOOKUP(B413,合并仓明细!$D$2:$F$74,3,0)</f>
        <v>76</v>
      </c>
      <c r="D413" t="s">
        <v>393</v>
      </c>
      <c r="E413" s="41" t="s">
        <v>296</v>
      </c>
      <c r="F413" s="40" t="s">
        <v>67</v>
      </c>
      <c r="G413" s="37">
        <v>630.816732</v>
      </c>
      <c r="H413" s="38"/>
      <c r="I413" s="37"/>
      <c r="J413" s="37"/>
      <c r="K413" s="37"/>
      <c r="L413" s="37"/>
      <c r="M413" s="39"/>
      <c r="N413" s="38">
        <f t="shared" si="6"/>
        <v>0</v>
      </c>
      <c r="O413" s="37"/>
    </row>
    <row r="414" spans="1:15" x14ac:dyDescent="0.25">
      <c r="A414" s="56" t="s">
        <v>99</v>
      </c>
      <c r="B414" s="41" t="s">
        <v>102</v>
      </c>
      <c r="C414" s="62">
        <f>VLOOKUP(B414,合并仓明细!$D$2:$F$74,3,0)</f>
        <v>76</v>
      </c>
      <c r="D414" t="s">
        <v>393</v>
      </c>
      <c r="E414" s="41" t="s">
        <v>296</v>
      </c>
      <c r="F414" s="40" t="s">
        <v>66</v>
      </c>
      <c r="G414" s="37">
        <v>703.7391666000002</v>
      </c>
      <c r="H414" s="38"/>
      <c r="I414" s="37"/>
      <c r="J414" s="37"/>
      <c r="K414" s="37"/>
      <c r="L414" s="37"/>
      <c r="M414" s="39"/>
      <c r="N414" s="38">
        <f t="shared" si="6"/>
        <v>0</v>
      </c>
      <c r="O414" s="37"/>
    </row>
    <row r="415" spans="1:15" x14ac:dyDescent="0.25">
      <c r="A415" t="s">
        <v>99</v>
      </c>
      <c r="B415" s="44" t="s">
        <v>102</v>
      </c>
      <c r="C415" s="62">
        <f>VLOOKUP(B415,合并仓明细!$D$2:$F$74,3,0)</f>
        <v>76</v>
      </c>
      <c r="D415" t="s">
        <v>393</v>
      </c>
      <c r="E415" s="43" t="s">
        <v>297</v>
      </c>
      <c r="F415" t="s">
        <v>68</v>
      </c>
      <c r="G415">
        <v>1053.64068</v>
      </c>
      <c r="H415">
        <v>5.9353461439799995</v>
      </c>
      <c r="I415" s="46">
        <f>ROUNDUP(H415/30,0)*VLOOKUP(D415,'报价表-配送'!$B$2:$I$6,8,0)</f>
        <v>0</v>
      </c>
      <c r="J415" s="37"/>
      <c r="K415" s="37"/>
      <c r="L415" s="37"/>
      <c r="M415" s="37"/>
      <c r="N415" s="38">
        <f t="shared" si="6"/>
        <v>0</v>
      </c>
    </row>
    <row r="416" spans="1:15" x14ac:dyDescent="0.25">
      <c r="A416" t="s">
        <v>99</v>
      </c>
      <c r="B416" s="43" t="s">
        <v>102</v>
      </c>
      <c r="C416" s="62">
        <f>VLOOKUP(B416,合并仓明细!$D$2:$F$74,3,0)</f>
        <v>76</v>
      </c>
      <c r="D416" t="s">
        <v>393</v>
      </c>
      <c r="E416" s="43" t="s">
        <v>297</v>
      </c>
      <c r="F416" t="s">
        <v>67</v>
      </c>
      <c r="G416">
        <v>3001.6604639999996</v>
      </c>
      <c r="H416"/>
      <c r="N416" s="38">
        <f t="shared" si="6"/>
        <v>0</v>
      </c>
    </row>
    <row r="417" spans="1:14" x14ac:dyDescent="0.25">
      <c r="A417" t="s">
        <v>99</v>
      </c>
      <c r="B417" s="43" t="s">
        <v>102</v>
      </c>
      <c r="C417" s="62">
        <f>VLOOKUP(B417,合并仓明细!$D$2:$F$74,3,0)</f>
        <v>76</v>
      </c>
      <c r="D417" t="s">
        <v>393</v>
      </c>
      <c r="E417" s="43" t="s">
        <v>297</v>
      </c>
      <c r="F417" t="s">
        <v>66</v>
      </c>
      <c r="G417">
        <v>1880.0449999799998</v>
      </c>
      <c r="H417"/>
      <c r="L417" s="37"/>
      <c r="M417" s="39"/>
      <c r="N417" s="38">
        <f t="shared" si="6"/>
        <v>0</v>
      </c>
    </row>
    <row r="418" spans="1:14" x14ac:dyDescent="0.25">
      <c r="A418" t="s">
        <v>99</v>
      </c>
      <c r="B418" s="43" t="s">
        <v>102</v>
      </c>
      <c r="C418" s="62">
        <f>VLOOKUP(B418,合并仓明细!$D$2:$F$74,3,0)</f>
        <v>76</v>
      </c>
      <c r="D418" t="s">
        <v>393</v>
      </c>
      <c r="E418" s="43" t="s">
        <v>298</v>
      </c>
      <c r="F418" t="s">
        <v>68</v>
      </c>
      <c r="G418">
        <v>1075.7835600000001</v>
      </c>
      <c r="H418">
        <v>1.61852330981</v>
      </c>
      <c r="I418" s="46">
        <f>ROUNDUP(H418/30,0)*VLOOKUP(D418,'报价表-配送'!$B$2:$I$6,8,0)</f>
        <v>0</v>
      </c>
      <c r="J418" s="38"/>
      <c r="K418" s="38"/>
      <c r="L418" s="37"/>
      <c r="M418" s="37"/>
      <c r="N418" s="38">
        <f t="shared" si="6"/>
        <v>0</v>
      </c>
    </row>
    <row r="419" spans="1:14" x14ac:dyDescent="0.25">
      <c r="A419" t="s">
        <v>99</v>
      </c>
      <c r="B419" s="43" t="s">
        <v>102</v>
      </c>
      <c r="C419" s="62">
        <f>VLOOKUP(B419,合并仓明细!$D$2:$F$74,3,0)</f>
        <v>76</v>
      </c>
      <c r="D419" t="s">
        <v>393</v>
      </c>
      <c r="E419" s="43" t="s">
        <v>298</v>
      </c>
      <c r="F419" t="s">
        <v>67</v>
      </c>
      <c r="G419">
        <v>0</v>
      </c>
      <c r="H419"/>
      <c r="N419" s="38">
        <f t="shared" si="6"/>
        <v>0</v>
      </c>
    </row>
    <row r="420" spans="1:14" x14ac:dyDescent="0.25">
      <c r="A420" t="s">
        <v>99</v>
      </c>
      <c r="B420" s="43" t="s">
        <v>102</v>
      </c>
      <c r="C420" s="62">
        <f>VLOOKUP(B420,合并仓明细!$D$2:$F$74,3,0)</f>
        <v>76</v>
      </c>
      <c r="D420" t="s">
        <v>393</v>
      </c>
      <c r="E420" s="43" t="s">
        <v>298</v>
      </c>
      <c r="F420" t="s">
        <v>66</v>
      </c>
      <c r="G420">
        <v>542.73974980999992</v>
      </c>
      <c r="H420"/>
      <c r="I420" s="46"/>
      <c r="J420" s="37"/>
      <c r="K420" s="37"/>
      <c r="L420" s="37"/>
      <c r="M420" s="37"/>
      <c r="N420" s="38">
        <f t="shared" si="6"/>
        <v>0</v>
      </c>
    </row>
    <row r="421" spans="1:14" x14ac:dyDescent="0.25">
      <c r="A421" t="s">
        <v>99</v>
      </c>
      <c r="B421" s="43" t="s">
        <v>102</v>
      </c>
      <c r="C421" s="62">
        <f>VLOOKUP(B421,合并仓明细!$D$2:$F$74,3,0)</f>
        <v>76</v>
      </c>
      <c r="D421" t="s">
        <v>393</v>
      </c>
      <c r="E421" s="43" t="s">
        <v>299</v>
      </c>
      <c r="F421" t="s">
        <v>68</v>
      </c>
      <c r="G421">
        <v>929.53824000000009</v>
      </c>
      <c r="H421">
        <v>5.2961174956999999</v>
      </c>
      <c r="I421" s="46">
        <f>ROUNDUP(H421/30,0)*VLOOKUP(D421,'报价表-配送'!$B$2:$I$6,8,0)</f>
        <v>0</v>
      </c>
      <c r="N421" s="38">
        <f t="shared" si="6"/>
        <v>0</v>
      </c>
    </row>
    <row r="422" spans="1:14" x14ac:dyDescent="0.25">
      <c r="A422" t="s">
        <v>99</v>
      </c>
      <c r="B422" s="43" t="s">
        <v>102</v>
      </c>
      <c r="C422" s="62">
        <f>VLOOKUP(B422,合并仓明细!$D$2:$F$74,3,0)</f>
        <v>76</v>
      </c>
      <c r="D422" t="s">
        <v>393</v>
      </c>
      <c r="E422" s="43" t="s">
        <v>299</v>
      </c>
      <c r="F422" t="s">
        <v>67</v>
      </c>
      <c r="G422">
        <v>68.300039999999996</v>
      </c>
      <c r="H422"/>
      <c r="N422" s="38">
        <f t="shared" si="6"/>
        <v>0</v>
      </c>
    </row>
    <row r="423" spans="1:14" x14ac:dyDescent="0.25">
      <c r="A423" t="s">
        <v>99</v>
      </c>
      <c r="B423" s="43" t="s">
        <v>102</v>
      </c>
      <c r="C423" s="62">
        <f>VLOOKUP(B423,合并仓明细!$D$2:$F$74,3,0)</f>
        <v>76</v>
      </c>
      <c r="D423" t="s">
        <v>393</v>
      </c>
      <c r="E423" s="43" t="s">
        <v>299</v>
      </c>
      <c r="F423" t="s">
        <v>66</v>
      </c>
      <c r="G423">
        <v>4298.2792157000003</v>
      </c>
      <c r="H423"/>
      <c r="L423" s="37"/>
      <c r="M423" s="39"/>
      <c r="N423" s="38">
        <f t="shared" si="6"/>
        <v>0</v>
      </c>
    </row>
    <row r="424" spans="1:14" x14ac:dyDescent="0.25">
      <c r="A424" t="s">
        <v>99</v>
      </c>
      <c r="B424" s="43" t="s">
        <v>102</v>
      </c>
      <c r="C424" s="62">
        <f>VLOOKUP(B424,合并仓明细!$D$2:$F$74,3,0)</f>
        <v>76</v>
      </c>
      <c r="D424" t="s">
        <v>393</v>
      </c>
      <c r="E424" s="43" t="s">
        <v>300</v>
      </c>
      <c r="F424" t="s">
        <v>66</v>
      </c>
      <c r="G424">
        <v>1030.34499998</v>
      </c>
      <c r="H424">
        <v>1.0303449999800001</v>
      </c>
      <c r="I424" s="38"/>
      <c r="J424" s="38"/>
      <c r="K424" s="38"/>
      <c r="L424" s="37">
        <f>IF(H424&gt;30,QUOTIENT(H424,30)*VLOOKUP(D424,'报价表-配送'!$B$2:$I$6,8,0),0)+IF(AND(MOD(H424,30)&gt;18,MOD(H424,30)&lt;=30),1,0)*VLOOKUP(D424,'报价表-配送'!$B$2:$I$6,8,0)+IF(AND(MOD(H424,30)&gt;8,MOD(H424,30)&lt;=18),1*VLOOKUP(D424,'报价表-配送'!$B$2:$I$6,7,0),0)+IF(AND(MOD(H424,30)&lt;=8,MOD(H424,30)&gt;2.5),1,0)*VLOOKUP(D424,'报价表-配送'!$B$2:$I$6,6,0)+IF(AND(MOD(H424,30)&lt;=2.5,MOD(H424,30)&gt;=1.5),1,0)*VLOOKUP(D424,'报价表-配送'!$B$2:$I$6,5,0)</f>
        <v>0</v>
      </c>
      <c r="M424" s="39">
        <f>IF(AND(MOD(H424,30)&lt;1.5,MOD(H424,30)&gt;=0.5),H424,0)*VLOOKUP(D424,'报价表-配送'!$B$2:$I$6,4,0)*1000+IF(AND(MOD(H424,30)&lt;0.5,MOD(H424,30)&gt;=0.02),H424,0)*VLOOKUP(D424,'报价表-配送'!$B$2:$I$6,3,0)*1000+IF(AND(MOD(H424,30)&lt;0.02),H424,0)*VLOOKUP(D424,'报价表-配送'!$B$2:$I$6,2,0)*1000</f>
        <v>0</v>
      </c>
      <c r="N424" s="38">
        <f t="shared" si="6"/>
        <v>0</v>
      </c>
    </row>
    <row r="425" spans="1:14" x14ac:dyDescent="0.25">
      <c r="A425" t="s">
        <v>99</v>
      </c>
      <c r="B425" s="43" t="s">
        <v>102</v>
      </c>
      <c r="C425" s="62">
        <f>VLOOKUP(B425,合并仓明细!$D$2:$F$74,3,0)</f>
        <v>76</v>
      </c>
      <c r="D425" t="s">
        <v>393</v>
      </c>
      <c r="E425" s="43" t="s">
        <v>301</v>
      </c>
      <c r="F425" t="s">
        <v>67</v>
      </c>
      <c r="G425">
        <v>6177.3236999999999</v>
      </c>
      <c r="H425">
        <v>6.1773236999999996</v>
      </c>
      <c r="I425" s="38">
        <f>IF(H425&gt;30,QUOTIENT(H425,30)*VLOOKUP(D425,'报价表-配送'!$B$2:$I$6,8,0),0)+IF(AND(MOD(H425,30)&gt;18,MOD(H425,30)&lt;=30),1,0)*VLOOKUP(D425,'报价表-配送'!$B$2:$I$6,8,0)</f>
        <v>0</v>
      </c>
      <c r="J425" s="38">
        <f>IF(AND(MOD(H425,30)&gt;8,MOD(H425,30)&lt;=18),1*VLOOKUP(D425,'报价表-配送'!$B$2:$I$6,7,0),0)</f>
        <v>0</v>
      </c>
      <c r="K425" s="38">
        <f>IF(AND(MOD(H425,30)&lt;=8,MOD(H425,30)&gt;0),1,0)*VLOOKUP(D425,'报价表-配送'!$B$2:$I$6,6,0)</f>
        <v>0</v>
      </c>
      <c r="N425" s="38">
        <f t="shared" si="6"/>
        <v>0</v>
      </c>
    </row>
    <row r="426" spans="1:14" x14ac:dyDescent="0.25">
      <c r="A426" t="s">
        <v>99</v>
      </c>
      <c r="B426" s="43" t="s">
        <v>102</v>
      </c>
      <c r="C426" s="62">
        <f>VLOOKUP(B426,合并仓明细!$D$2:$F$74,3,0)</f>
        <v>76</v>
      </c>
      <c r="D426" t="s">
        <v>393</v>
      </c>
      <c r="E426" s="43" t="s">
        <v>302</v>
      </c>
      <c r="F426" t="s">
        <v>66</v>
      </c>
      <c r="G426">
        <v>163.09939395000001</v>
      </c>
      <c r="H426">
        <v>0.16309939395</v>
      </c>
      <c r="I426" s="38"/>
      <c r="J426" s="38"/>
      <c r="K426" s="38"/>
      <c r="L426" s="37">
        <f>IF(H426&gt;30,QUOTIENT(H426,30)*VLOOKUP(D426,'报价表-配送'!$B$2:$I$6,8,0),0)+IF(AND(MOD(H426,30)&gt;18,MOD(H426,30)&lt;=30),1,0)*VLOOKUP(D426,'报价表-配送'!$B$2:$I$6,8,0)+IF(AND(MOD(H426,30)&gt;8,MOD(H426,30)&lt;=18),1*VLOOKUP(D426,'报价表-配送'!$B$2:$I$6,7,0),0)+IF(AND(MOD(H426,30)&lt;=8,MOD(H426,30)&gt;2.5),1,0)*VLOOKUP(D426,'报价表-配送'!$B$2:$I$6,6,0)+IF(AND(MOD(H426,30)&lt;=2.5,MOD(H426,30)&gt;=1.5),1,0)*VLOOKUP(D426,'报价表-配送'!$B$2:$I$6,5,0)</f>
        <v>0</v>
      </c>
      <c r="M426" s="39">
        <f>IF(AND(MOD(H426,30)&lt;1.5,MOD(H426,30)&gt;=0.5),H426,0)*VLOOKUP(D426,'报价表-配送'!$B$2:$I$6,4,0)*1000+IF(AND(MOD(H426,30)&lt;0.5,MOD(H426,30)&gt;=0.02),H426,0)*VLOOKUP(D426,'报价表-配送'!$B$2:$I$6,3,0)*1000+IF(AND(MOD(H426,30)&lt;0.02),H426,0)*VLOOKUP(D426,'报价表-配送'!$B$2:$I$6,2,0)*1000</f>
        <v>0</v>
      </c>
      <c r="N426" s="38">
        <f t="shared" si="6"/>
        <v>0</v>
      </c>
    </row>
    <row r="427" spans="1:14" x14ac:dyDescent="0.25">
      <c r="A427" t="s">
        <v>99</v>
      </c>
      <c r="B427" s="43" t="s">
        <v>102</v>
      </c>
      <c r="C427" s="62">
        <f>VLOOKUP(B427,合并仓明细!$D$2:$F$74,3,0)</f>
        <v>76</v>
      </c>
      <c r="D427" t="s">
        <v>393</v>
      </c>
      <c r="E427" s="43" t="s">
        <v>303</v>
      </c>
      <c r="F427" t="s">
        <v>67</v>
      </c>
      <c r="G427">
        <v>7290.7000560000006</v>
      </c>
      <c r="H427">
        <v>8.1484400560000001</v>
      </c>
      <c r="I427" s="38">
        <f>IF(H427&gt;30,QUOTIENT(H427,30)*VLOOKUP(D427,'报价表-配送'!$B$2:$I$6,8,0),0)+IF(AND(MOD(H427,30)&gt;18,MOD(H427,30)&lt;=30),1,0)*VLOOKUP(D427,'报价表-配送'!$B$2:$I$6,8,0)</f>
        <v>0</v>
      </c>
      <c r="J427" s="38">
        <f>IF(AND(MOD(H427,30)&gt;8,MOD(H427,30)&lt;=18),1*VLOOKUP(D427,'报价表-配送'!$B$2:$I$6,7,0),0)</f>
        <v>0</v>
      </c>
      <c r="K427" s="38">
        <f>IF(AND(MOD(H427,30)&lt;=8,MOD(H427,30)&gt;0),1,0)*VLOOKUP(D427,'报价表-配送'!$B$2:$I$6,6,0)</f>
        <v>0</v>
      </c>
      <c r="N427" s="38">
        <f t="shared" si="6"/>
        <v>0</v>
      </c>
    </row>
    <row r="428" spans="1:14" x14ac:dyDescent="0.25">
      <c r="A428" t="s">
        <v>99</v>
      </c>
      <c r="B428" s="43" t="s">
        <v>102</v>
      </c>
      <c r="C428" s="62">
        <f>VLOOKUP(B428,合并仓明细!$D$2:$F$74,3,0)</f>
        <v>76</v>
      </c>
      <c r="D428" t="s">
        <v>393</v>
      </c>
      <c r="E428" s="43" t="s">
        <v>303</v>
      </c>
      <c r="F428" t="s">
        <v>66</v>
      </c>
      <c r="G428">
        <v>857.7399999999999</v>
      </c>
      <c r="H428"/>
      <c r="I428" s="38"/>
      <c r="J428" s="38"/>
      <c r="K428" s="38"/>
      <c r="L428" s="37"/>
      <c r="M428" s="37"/>
      <c r="N428" s="38">
        <f t="shared" si="6"/>
        <v>0</v>
      </c>
    </row>
    <row r="429" spans="1:14" x14ac:dyDescent="0.25">
      <c r="A429" t="s">
        <v>99</v>
      </c>
      <c r="B429" s="43" t="s">
        <v>102</v>
      </c>
      <c r="C429" s="62">
        <f>VLOOKUP(B429,合并仓明细!$D$2:$F$74,3,0)</f>
        <v>76</v>
      </c>
      <c r="D429" t="s">
        <v>393</v>
      </c>
      <c r="E429" s="43" t="s">
        <v>304</v>
      </c>
      <c r="F429" t="s">
        <v>68</v>
      </c>
      <c r="G429">
        <v>307.31423999999998</v>
      </c>
      <c r="H429">
        <v>8.8011989794200005</v>
      </c>
      <c r="I429" s="46">
        <f>ROUNDUP(H429/30,0)*VLOOKUP(D429,'报价表-配送'!$B$2:$I$6,8,0)</f>
        <v>0</v>
      </c>
      <c r="N429" s="38">
        <f t="shared" si="6"/>
        <v>0</v>
      </c>
    </row>
    <row r="430" spans="1:14" x14ac:dyDescent="0.25">
      <c r="A430" t="s">
        <v>99</v>
      </c>
      <c r="B430" s="43" t="s">
        <v>102</v>
      </c>
      <c r="C430" s="62">
        <f>VLOOKUP(B430,合并仓明细!$D$2:$F$74,3,0)</f>
        <v>76</v>
      </c>
      <c r="D430" t="s">
        <v>393</v>
      </c>
      <c r="E430" s="43" t="s">
        <v>304</v>
      </c>
      <c r="F430" t="s">
        <v>67</v>
      </c>
      <c r="G430">
        <v>6795.0920059999999</v>
      </c>
      <c r="H430"/>
      <c r="I430" s="38"/>
      <c r="J430" s="38"/>
      <c r="K430" s="38"/>
      <c r="L430" s="37"/>
      <c r="M430" s="37"/>
      <c r="N430" s="38">
        <f t="shared" si="6"/>
        <v>0</v>
      </c>
    </row>
    <row r="431" spans="1:14" x14ac:dyDescent="0.25">
      <c r="A431" t="s">
        <v>99</v>
      </c>
      <c r="B431" s="43" t="s">
        <v>102</v>
      </c>
      <c r="C431" s="62">
        <f>VLOOKUP(B431,合并仓明细!$D$2:$F$74,3,0)</f>
        <v>76</v>
      </c>
      <c r="D431" t="s">
        <v>393</v>
      </c>
      <c r="E431" s="43" t="s">
        <v>304</v>
      </c>
      <c r="F431" t="s">
        <v>66</v>
      </c>
      <c r="G431">
        <v>1698.7927334199999</v>
      </c>
      <c r="H431"/>
      <c r="N431" s="38">
        <f t="shared" si="6"/>
        <v>0</v>
      </c>
    </row>
    <row r="432" spans="1:14" x14ac:dyDescent="0.25">
      <c r="A432" t="s">
        <v>99</v>
      </c>
      <c r="B432" s="43" t="s">
        <v>102</v>
      </c>
      <c r="C432" s="62">
        <f>VLOOKUP(B432,合并仓明细!$D$2:$F$74,3,0)</f>
        <v>76</v>
      </c>
      <c r="D432" t="s">
        <v>393</v>
      </c>
      <c r="E432" s="43" t="s">
        <v>253</v>
      </c>
      <c r="F432" t="s">
        <v>68</v>
      </c>
      <c r="G432">
        <v>541.67999999999995</v>
      </c>
      <c r="H432">
        <v>3.5094364601299994</v>
      </c>
      <c r="I432" s="46">
        <f>ROUNDUP(H432/30,0)*VLOOKUP(D432,'报价表-配送'!$B$2:$I$6,8,0)</f>
        <v>0</v>
      </c>
      <c r="L432" s="37"/>
      <c r="M432" s="39"/>
      <c r="N432" s="38">
        <f t="shared" si="6"/>
        <v>0</v>
      </c>
    </row>
    <row r="433" spans="1:14" x14ac:dyDescent="0.25">
      <c r="A433" t="s">
        <v>99</v>
      </c>
      <c r="B433" s="43" t="s">
        <v>102</v>
      </c>
      <c r="C433" s="62">
        <f>VLOOKUP(B433,合并仓明细!$D$2:$F$74,3,0)</f>
        <v>76</v>
      </c>
      <c r="D433" t="s">
        <v>393</v>
      </c>
      <c r="E433" s="43" t="s">
        <v>253</v>
      </c>
      <c r="F433" t="s">
        <v>67</v>
      </c>
      <c r="G433">
        <v>1106.259264</v>
      </c>
      <c r="H433"/>
      <c r="I433" s="46"/>
      <c r="J433" s="37"/>
      <c r="K433" s="37"/>
      <c r="L433" s="37"/>
      <c r="M433" s="37"/>
      <c r="N433" s="38">
        <f t="shared" si="6"/>
        <v>0</v>
      </c>
    </row>
    <row r="434" spans="1:14" x14ac:dyDescent="0.25">
      <c r="A434" t="s">
        <v>99</v>
      </c>
      <c r="B434" s="43" t="s">
        <v>102</v>
      </c>
      <c r="C434" s="62">
        <f>VLOOKUP(B434,合并仓明细!$D$2:$F$74,3,0)</f>
        <v>76</v>
      </c>
      <c r="D434" t="s">
        <v>393</v>
      </c>
      <c r="E434" s="43" t="s">
        <v>253</v>
      </c>
      <c r="F434" t="s">
        <v>66</v>
      </c>
      <c r="G434">
        <v>1861.4971961299991</v>
      </c>
      <c r="H434"/>
      <c r="N434" s="38">
        <f t="shared" si="6"/>
        <v>0</v>
      </c>
    </row>
    <row r="435" spans="1:14" x14ac:dyDescent="0.25">
      <c r="A435" t="s">
        <v>99</v>
      </c>
      <c r="B435" s="43" t="s">
        <v>102</v>
      </c>
      <c r="C435" s="62">
        <f>VLOOKUP(B435,合并仓明细!$D$2:$F$74,3,0)</f>
        <v>76</v>
      </c>
      <c r="D435" t="s">
        <v>393</v>
      </c>
      <c r="E435" s="43" t="s">
        <v>305</v>
      </c>
      <c r="F435" t="s">
        <v>68</v>
      </c>
      <c r="G435">
        <v>1145.232</v>
      </c>
      <c r="H435">
        <v>6.6537031815600001</v>
      </c>
      <c r="I435" s="46">
        <f>ROUNDUP(H435/30,0)*VLOOKUP(D435,'报价表-配送'!$B$2:$I$6,8,0)</f>
        <v>0</v>
      </c>
      <c r="N435" s="38">
        <f t="shared" si="6"/>
        <v>0</v>
      </c>
    </row>
    <row r="436" spans="1:14" x14ac:dyDescent="0.25">
      <c r="A436" t="s">
        <v>99</v>
      </c>
      <c r="B436" s="43" t="s">
        <v>102</v>
      </c>
      <c r="C436" s="62">
        <f>VLOOKUP(B436,合并仓明细!$D$2:$F$74,3,0)</f>
        <v>76</v>
      </c>
      <c r="D436" t="s">
        <v>393</v>
      </c>
      <c r="E436" s="43" t="s">
        <v>305</v>
      </c>
      <c r="F436" t="s">
        <v>67</v>
      </c>
      <c r="G436">
        <v>4748.9253840000001</v>
      </c>
      <c r="H436"/>
      <c r="I436" s="46"/>
      <c r="J436" s="37"/>
      <c r="K436" s="37"/>
      <c r="L436" s="37"/>
      <c r="M436" s="37"/>
      <c r="N436" s="38">
        <f t="shared" si="6"/>
        <v>0</v>
      </c>
    </row>
    <row r="437" spans="1:14" x14ac:dyDescent="0.25">
      <c r="A437" t="s">
        <v>99</v>
      </c>
      <c r="B437" s="43" t="s">
        <v>102</v>
      </c>
      <c r="C437" s="62">
        <f>VLOOKUP(B437,合并仓明细!$D$2:$F$74,3,0)</f>
        <v>76</v>
      </c>
      <c r="D437" t="s">
        <v>393</v>
      </c>
      <c r="E437" s="43" t="s">
        <v>305</v>
      </c>
      <c r="F437" t="s">
        <v>66</v>
      </c>
      <c r="G437">
        <v>759.54579755999976</v>
      </c>
      <c r="H437"/>
      <c r="N437" s="38">
        <f t="shared" si="6"/>
        <v>0</v>
      </c>
    </row>
    <row r="438" spans="1:14" x14ac:dyDescent="0.25">
      <c r="A438" t="s">
        <v>99</v>
      </c>
      <c r="B438" s="43" t="s">
        <v>102</v>
      </c>
      <c r="C438" s="62">
        <f>VLOOKUP(B438,合并仓明细!$D$2:$F$74,3,0)</f>
        <v>76</v>
      </c>
      <c r="D438" t="s">
        <v>393</v>
      </c>
      <c r="E438" s="43" t="s">
        <v>255</v>
      </c>
      <c r="F438" t="s">
        <v>68</v>
      </c>
      <c r="G438">
        <v>291.19200000000001</v>
      </c>
      <c r="H438">
        <v>1.5879204592299998</v>
      </c>
      <c r="I438" s="46">
        <f>ROUNDUP(H438/30,0)*VLOOKUP(D438,'报价表-配送'!$B$2:$I$6,8,0)</f>
        <v>0</v>
      </c>
      <c r="N438" s="38">
        <f t="shared" si="6"/>
        <v>0</v>
      </c>
    </row>
    <row r="439" spans="1:14" x14ac:dyDescent="0.25">
      <c r="A439" t="s">
        <v>99</v>
      </c>
      <c r="B439" s="43" t="s">
        <v>102</v>
      </c>
      <c r="C439" s="62">
        <f>VLOOKUP(B439,合并仓明细!$D$2:$F$74,3,0)</f>
        <v>76</v>
      </c>
      <c r="D439" t="s">
        <v>393</v>
      </c>
      <c r="E439" s="43" t="s">
        <v>255</v>
      </c>
      <c r="F439" t="s">
        <v>67</v>
      </c>
      <c r="G439">
        <v>82.245114000000001</v>
      </c>
      <c r="H439"/>
      <c r="I439" s="46"/>
      <c r="J439" s="37"/>
      <c r="K439" s="37"/>
      <c r="L439" s="37"/>
      <c r="M439" s="37"/>
      <c r="N439" s="38">
        <f t="shared" si="6"/>
        <v>0</v>
      </c>
    </row>
    <row r="440" spans="1:14" x14ac:dyDescent="0.25">
      <c r="A440" t="s">
        <v>99</v>
      </c>
      <c r="B440" s="43" t="s">
        <v>102</v>
      </c>
      <c r="C440" s="62">
        <f>VLOOKUP(B440,合并仓明细!$D$2:$F$74,3,0)</f>
        <v>76</v>
      </c>
      <c r="D440" t="s">
        <v>393</v>
      </c>
      <c r="E440" s="43" t="s">
        <v>255</v>
      </c>
      <c r="F440" t="s">
        <v>66</v>
      </c>
      <c r="G440">
        <v>1214.4833452299997</v>
      </c>
      <c r="H440"/>
      <c r="N440" s="38">
        <f t="shared" si="6"/>
        <v>0</v>
      </c>
    </row>
    <row r="441" spans="1:14" x14ac:dyDescent="0.25">
      <c r="A441" t="s">
        <v>103</v>
      </c>
      <c r="B441" s="43" t="s">
        <v>104</v>
      </c>
      <c r="C441" s="62">
        <f>VLOOKUP(B441,合并仓明细!$D$2:$F$74,3,0)</f>
        <v>132</v>
      </c>
      <c r="D441" t="s">
        <v>413</v>
      </c>
      <c r="E441" s="43" t="s">
        <v>306</v>
      </c>
      <c r="F441" t="s">
        <v>67</v>
      </c>
      <c r="G441">
        <v>3362.2120009999999</v>
      </c>
      <c r="H441">
        <v>5.3550655787899997</v>
      </c>
      <c r="I441" s="38">
        <f>IF(H441&gt;30,QUOTIENT(H441,30)*VLOOKUP(D441,'报价表-配送'!$B$47:$I$51,8,0),0)+IF(AND(MOD(H441,30)&gt;18,MOD(H441,30)&lt;=30),1,0)*VLOOKUP(D441,'报价表-配送'!$B$47:$I$51,8,0)</f>
        <v>0</v>
      </c>
      <c r="J441" s="38">
        <f>IF(AND(MOD(H441,30)&gt;8,MOD(H441,30)&lt;=18),1*VLOOKUP(D441,'报价表-配送'!$B$47:$I$51,7,0),0)</f>
        <v>0</v>
      </c>
      <c r="K441" s="38">
        <f>IF(AND(MOD(H441,30)&lt;=8,MOD(H441,30)&gt;0),1,0)*VLOOKUP(D441,'报价表-配送'!$B$47:$I$51,6,0)</f>
        <v>0</v>
      </c>
      <c r="N441" s="38">
        <f t="shared" si="6"/>
        <v>0</v>
      </c>
    </row>
    <row r="442" spans="1:14" x14ac:dyDescent="0.25">
      <c r="A442" t="s">
        <v>103</v>
      </c>
      <c r="B442" s="43" t="s">
        <v>104</v>
      </c>
      <c r="C442" s="62">
        <f>VLOOKUP(B442,合并仓明细!$D$2:$F$74,3,0)</f>
        <v>132</v>
      </c>
      <c r="D442" t="s">
        <v>413</v>
      </c>
      <c r="E442" s="43" t="s">
        <v>306</v>
      </c>
      <c r="F442" t="s">
        <v>66</v>
      </c>
      <c r="G442">
        <v>1992.8535777900001</v>
      </c>
      <c r="H442"/>
      <c r="I442" s="38"/>
      <c r="J442" s="38"/>
      <c r="K442" s="38"/>
      <c r="L442" s="37"/>
      <c r="M442" s="37"/>
      <c r="N442" s="38">
        <f t="shared" si="6"/>
        <v>0</v>
      </c>
    </row>
    <row r="443" spans="1:14" x14ac:dyDescent="0.25">
      <c r="A443" t="s">
        <v>103</v>
      </c>
      <c r="B443" s="43" t="s">
        <v>104</v>
      </c>
      <c r="C443" s="62">
        <f>VLOOKUP(B443,合并仓明细!$D$2:$F$74,3,0)</f>
        <v>132</v>
      </c>
      <c r="D443" t="s">
        <v>413</v>
      </c>
      <c r="E443" s="43" t="s">
        <v>307</v>
      </c>
      <c r="F443" t="s">
        <v>68</v>
      </c>
      <c r="G443">
        <v>3295.60392</v>
      </c>
      <c r="H443">
        <v>27.24782265219001</v>
      </c>
      <c r="I443" s="46">
        <f>ROUNDUP(H443/30,0)*VLOOKUP(D443,'报价表-配送'!$B$47:$I$51,8,0)</f>
        <v>0</v>
      </c>
      <c r="N443" s="38">
        <f t="shared" si="6"/>
        <v>0</v>
      </c>
    </row>
    <row r="444" spans="1:14" x14ac:dyDescent="0.25">
      <c r="A444" t="s">
        <v>103</v>
      </c>
      <c r="B444" s="43" t="s">
        <v>104</v>
      </c>
      <c r="C444" s="62">
        <f>VLOOKUP(B444,合并仓明细!$D$2:$F$74,3,0)</f>
        <v>132</v>
      </c>
      <c r="D444" t="s">
        <v>413</v>
      </c>
      <c r="E444" s="43" t="s">
        <v>307</v>
      </c>
      <c r="F444" t="s">
        <v>67</v>
      </c>
      <c r="G444">
        <v>19502.721234000004</v>
      </c>
      <c r="H444"/>
      <c r="I444" s="46"/>
      <c r="J444" s="37"/>
      <c r="K444" s="37"/>
      <c r="L444" s="37"/>
      <c r="M444" s="37"/>
      <c r="N444" s="38">
        <f t="shared" si="6"/>
        <v>0</v>
      </c>
    </row>
    <row r="445" spans="1:14" x14ac:dyDescent="0.25">
      <c r="A445" t="s">
        <v>103</v>
      </c>
      <c r="B445" s="43" t="s">
        <v>104</v>
      </c>
      <c r="C445" s="62">
        <f>VLOOKUP(B445,合并仓明细!$D$2:$F$74,3,0)</f>
        <v>132</v>
      </c>
      <c r="D445" t="s">
        <v>413</v>
      </c>
      <c r="E445" s="43" t="s">
        <v>307</v>
      </c>
      <c r="F445" t="s">
        <v>66</v>
      </c>
      <c r="G445">
        <v>4449.4974981900041</v>
      </c>
      <c r="H445"/>
      <c r="N445" s="38">
        <f t="shared" si="6"/>
        <v>0</v>
      </c>
    </row>
    <row r="446" spans="1:14" x14ac:dyDescent="0.25">
      <c r="A446" t="s">
        <v>103</v>
      </c>
      <c r="B446" s="43" t="s">
        <v>104</v>
      </c>
      <c r="C446" s="62">
        <f>VLOOKUP(B446,合并仓明细!$D$2:$F$74,3,0)</f>
        <v>132</v>
      </c>
      <c r="D446" t="s">
        <v>413</v>
      </c>
      <c r="E446" s="43" t="s">
        <v>308</v>
      </c>
      <c r="F446" t="s">
        <v>68</v>
      </c>
      <c r="G446">
        <v>3295.60392</v>
      </c>
      <c r="H446">
        <v>5.2865639200000007</v>
      </c>
      <c r="I446" s="46">
        <f>ROUNDUP(H446/30,0)*VLOOKUP(D446,'报价表-配送'!$B$47:$I$51,8,0)</f>
        <v>0</v>
      </c>
      <c r="N446" s="38">
        <f t="shared" si="6"/>
        <v>0</v>
      </c>
    </row>
    <row r="447" spans="1:14" x14ac:dyDescent="0.25">
      <c r="A447" t="s">
        <v>103</v>
      </c>
      <c r="B447" s="43" t="s">
        <v>104</v>
      </c>
      <c r="C447" s="62">
        <f>VLOOKUP(B447,合并仓明细!$D$2:$F$74,3,0)</f>
        <v>132</v>
      </c>
      <c r="D447" t="s">
        <v>413</v>
      </c>
      <c r="E447" s="43" t="s">
        <v>308</v>
      </c>
      <c r="F447" t="s">
        <v>66</v>
      </c>
      <c r="G447">
        <v>1990.96</v>
      </c>
      <c r="H447"/>
      <c r="I447" s="38"/>
      <c r="J447" s="38"/>
      <c r="K447" s="38"/>
      <c r="L447" s="37"/>
      <c r="M447" s="37"/>
      <c r="N447" s="38">
        <f t="shared" si="6"/>
        <v>0</v>
      </c>
    </row>
    <row r="448" spans="1:14" x14ac:dyDescent="0.25">
      <c r="A448" t="s">
        <v>103</v>
      </c>
      <c r="B448" s="43" t="s">
        <v>104</v>
      </c>
      <c r="C448" s="62">
        <f>VLOOKUP(B448,合并仓明细!$D$2:$F$74,3,0)</f>
        <v>132</v>
      </c>
      <c r="D448" t="s">
        <v>413</v>
      </c>
      <c r="E448" s="43" t="s">
        <v>265</v>
      </c>
      <c r="F448" t="s">
        <v>66</v>
      </c>
      <c r="G448">
        <v>709.32374992000007</v>
      </c>
      <c r="H448">
        <v>0.70932374992000002</v>
      </c>
      <c r="L448" s="37">
        <f>IF(H448&gt;30,QUOTIENT(H448,30)*VLOOKUP(D448,'报价表-配送'!$B$47:$I$51,8,0),0)+IF(AND(MOD(H448,30)&gt;18,MOD(H448,30)&lt;=30),1,0)*VLOOKUP(D448,'报价表-配送'!$B$47:$I$51,8,0)+IF(AND(MOD(H448,30)&gt;8,MOD(H448,30)&lt;=18),1*VLOOKUP(D448,'报价表-配送'!$B$47:$I$51,7,0),0)+IF(AND(MOD(H448,30)&lt;=8,MOD(H448,30)&gt;2.5),1,0)*VLOOKUP(D448,'报价表-配送'!$B$47:$I$51,6,0)+IF(AND(MOD(H448,30)&lt;=2.5,MOD(H448,30)&gt;=1.5),1,0)*VLOOKUP(D448,'报价表-配送'!$B$47:$I$51,5,0)</f>
        <v>0</v>
      </c>
      <c r="M448" s="39">
        <f>IF(AND(MOD(H448,30)&lt;1.5,MOD(H448,30)&gt;=0.5),H448,0)*VLOOKUP(D448,'报价表-配送'!$B$47:$I$51,4,0)*1000+IF(AND(MOD(H448,30)&lt;0.5,MOD(H448,30)&gt;=0.02),H448,0)*VLOOKUP(D448,'报价表-配送'!$B$47:$I$51,3,0)*1000+IF(AND(MOD(H448,30)&lt;0.02),H448,0)*VLOOKUP(D448,'报价表-配送'!$B$47:$I$51,2,0)*1000</f>
        <v>0</v>
      </c>
      <c r="N448" s="38">
        <f t="shared" si="6"/>
        <v>0</v>
      </c>
    </row>
    <row r="449" spans="1:14" x14ac:dyDescent="0.25">
      <c r="A449" t="s">
        <v>103</v>
      </c>
      <c r="B449" s="43" t="s">
        <v>104</v>
      </c>
      <c r="C449" s="62">
        <f>VLOOKUP(B449,合并仓明细!$D$2:$F$74,3,0)</f>
        <v>132</v>
      </c>
      <c r="D449" t="s">
        <v>413</v>
      </c>
      <c r="E449" s="43" t="s">
        <v>266</v>
      </c>
      <c r="F449" t="s">
        <v>68</v>
      </c>
      <c r="G449">
        <v>1765.2746399999999</v>
      </c>
      <c r="H449">
        <v>8.7905871974299981</v>
      </c>
      <c r="I449" s="46">
        <f>ROUNDUP(H449/30,0)*VLOOKUP(D449,'报价表-配送'!$B$47:$I$51,8,0)</f>
        <v>0</v>
      </c>
      <c r="L449" s="37"/>
      <c r="M449" s="39"/>
      <c r="N449" s="38">
        <f t="shared" si="6"/>
        <v>0</v>
      </c>
    </row>
    <row r="450" spans="1:14" x14ac:dyDescent="0.25">
      <c r="A450" t="s">
        <v>103</v>
      </c>
      <c r="B450" s="43" t="s">
        <v>104</v>
      </c>
      <c r="C450" s="62">
        <f>VLOOKUP(B450,合并仓明细!$D$2:$F$74,3,0)</f>
        <v>132</v>
      </c>
      <c r="D450" t="s">
        <v>413</v>
      </c>
      <c r="E450" s="43" t="s">
        <v>266</v>
      </c>
      <c r="F450" t="s">
        <v>67</v>
      </c>
      <c r="G450">
        <v>4093.561263999999</v>
      </c>
      <c r="H450"/>
      <c r="I450" s="46"/>
      <c r="J450" s="37"/>
      <c r="K450" s="37"/>
      <c r="L450" s="37"/>
      <c r="M450" s="37"/>
      <c r="N450" s="38">
        <f t="shared" si="6"/>
        <v>0</v>
      </c>
    </row>
    <row r="451" spans="1:14" x14ac:dyDescent="0.25">
      <c r="A451" t="s">
        <v>103</v>
      </c>
      <c r="B451" s="43" t="s">
        <v>104</v>
      </c>
      <c r="C451" s="62">
        <f>VLOOKUP(B451,合并仓明细!$D$2:$F$74,3,0)</f>
        <v>132</v>
      </c>
      <c r="D451" t="s">
        <v>413</v>
      </c>
      <c r="E451" s="43" t="s">
        <v>266</v>
      </c>
      <c r="F451" t="s">
        <v>66</v>
      </c>
      <c r="G451">
        <v>2931.7512934299998</v>
      </c>
      <c r="H451"/>
      <c r="N451" s="38">
        <f t="shared" si="6"/>
        <v>0</v>
      </c>
    </row>
    <row r="452" spans="1:14" x14ac:dyDescent="0.25">
      <c r="A452" t="s">
        <v>103</v>
      </c>
      <c r="B452" s="43" t="s">
        <v>104</v>
      </c>
      <c r="C452" s="62">
        <f>VLOOKUP(B452,合并仓明细!$D$2:$F$74,3,0)</f>
        <v>132</v>
      </c>
      <c r="D452" t="s">
        <v>413</v>
      </c>
      <c r="E452" s="43" t="s">
        <v>309</v>
      </c>
      <c r="F452" t="s">
        <v>68</v>
      </c>
      <c r="G452">
        <v>10149.383999999998</v>
      </c>
      <c r="H452">
        <v>10.149383999999998</v>
      </c>
      <c r="I452" s="46">
        <f>ROUNDUP(H452/30,0)*VLOOKUP(D452,'报价表-配送'!$B$47:$I$51,8,0)</f>
        <v>0</v>
      </c>
      <c r="N452" s="38">
        <f t="shared" si="6"/>
        <v>0</v>
      </c>
    </row>
    <row r="453" spans="1:14" x14ac:dyDescent="0.25">
      <c r="A453" t="s">
        <v>103</v>
      </c>
      <c r="B453" s="43" t="s">
        <v>104</v>
      </c>
      <c r="C453" s="62">
        <f>VLOOKUP(B453,合并仓明细!$D$2:$F$74,3,0)</f>
        <v>132</v>
      </c>
      <c r="D453" t="s">
        <v>413</v>
      </c>
      <c r="E453" s="43" t="s">
        <v>268</v>
      </c>
      <c r="F453" t="s">
        <v>68</v>
      </c>
      <c r="G453">
        <v>2221.41876</v>
      </c>
      <c r="H453">
        <v>11.487990395509998</v>
      </c>
      <c r="I453" s="46">
        <f>ROUNDUP(H453/30,0)*VLOOKUP(D453,'报价表-配送'!$B$47:$I$51,8,0)</f>
        <v>0</v>
      </c>
      <c r="J453" s="38"/>
      <c r="K453" s="38"/>
      <c r="L453" s="37"/>
      <c r="M453" s="37"/>
      <c r="N453" s="38">
        <f t="shared" si="6"/>
        <v>0</v>
      </c>
    </row>
    <row r="454" spans="1:14" x14ac:dyDescent="0.25">
      <c r="A454" t="s">
        <v>103</v>
      </c>
      <c r="B454" s="43" t="s">
        <v>104</v>
      </c>
      <c r="C454" s="62">
        <f>VLOOKUP(B454,合并仓明细!$D$2:$F$74,3,0)</f>
        <v>132</v>
      </c>
      <c r="D454" t="s">
        <v>413</v>
      </c>
      <c r="E454" s="43" t="s">
        <v>268</v>
      </c>
      <c r="F454" t="s">
        <v>67</v>
      </c>
      <c r="G454">
        <v>4263.7775929999989</v>
      </c>
      <c r="H454"/>
      <c r="N454" s="38">
        <f t="shared" si="6"/>
        <v>0</v>
      </c>
    </row>
    <row r="455" spans="1:14" x14ac:dyDescent="0.25">
      <c r="A455" t="s">
        <v>103</v>
      </c>
      <c r="B455" s="43" t="s">
        <v>104</v>
      </c>
      <c r="C455" s="62">
        <f>VLOOKUP(B455,合并仓明细!$D$2:$F$74,3,0)</f>
        <v>132</v>
      </c>
      <c r="D455" t="s">
        <v>413</v>
      </c>
      <c r="E455" s="43" t="s">
        <v>268</v>
      </c>
      <c r="F455" t="s">
        <v>66</v>
      </c>
      <c r="G455">
        <v>5002.7940425099987</v>
      </c>
      <c r="H455"/>
      <c r="L455" s="37"/>
      <c r="M455" s="39"/>
      <c r="N455" s="38">
        <f t="shared" si="6"/>
        <v>0</v>
      </c>
    </row>
    <row r="456" spans="1:14" x14ac:dyDescent="0.25">
      <c r="A456" t="s">
        <v>103</v>
      </c>
      <c r="B456" s="43" t="s">
        <v>104</v>
      </c>
      <c r="C456" s="62">
        <f>VLOOKUP(B456,合并仓明细!$D$2:$F$74,3,0)</f>
        <v>132</v>
      </c>
      <c r="D456" t="s">
        <v>413</v>
      </c>
      <c r="E456" s="43" t="s">
        <v>269</v>
      </c>
      <c r="F456" t="s">
        <v>68</v>
      </c>
      <c r="G456">
        <v>709.19171999999992</v>
      </c>
      <c r="H456">
        <v>8.8092684425499979</v>
      </c>
      <c r="I456" s="46">
        <f>ROUNDUP(H456/30,0)*VLOOKUP(D456,'报价表-配送'!$B$47:$I$51,8,0)</f>
        <v>0</v>
      </c>
      <c r="J456" s="37"/>
      <c r="K456" s="37"/>
      <c r="L456" s="37"/>
      <c r="M456" s="37"/>
      <c r="N456" s="38">
        <f t="shared" si="6"/>
        <v>0</v>
      </c>
    </row>
    <row r="457" spans="1:14" x14ac:dyDescent="0.25">
      <c r="A457" t="s">
        <v>103</v>
      </c>
      <c r="B457" s="43" t="s">
        <v>104</v>
      </c>
      <c r="C457" s="62">
        <f>VLOOKUP(B457,合并仓明细!$D$2:$F$74,3,0)</f>
        <v>132</v>
      </c>
      <c r="D457" t="s">
        <v>413</v>
      </c>
      <c r="E457" s="43" t="s">
        <v>269</v>
      </c>
      <c r="F457" t="s">
        <v>67</v>
      </c>
      <c r="G457">
        <v>4840.1633939999992</v>
      </c>
      <c r="H457"/>
      <c r="N457" s="38">
        <f t="shared" si="6"/>
        <v>0</v>
      </c>
    </row>
    <row r="458" spans="1:14" x14ac:dyDescent="0.25">
      <c r="A458" t="s">
        <v>103</v>
      </c>
      <c r="B458" s="43" t="s">
        <v>104</v>
      </c>
      <c r="C458" s="62">
        <f>VLOOKUP(B458,合并仓明细!$D$2:$F$74,3,0)</f>
        <v>132</v>
      </c>
      <c r="D458" t="s">
        <v>413</v>
      </c>
      <c r="E458" s="43" t="s">
        <v>269</v>
      </c>
      <c r="F458" t="s">
        <v>66</v>
      </c>
      <c r="G458">
        <v>3259.9133285499993</v>
      </c>
      <c r="H458"/>
      <c r="N458" s="38">
        <f t="shared" si="6"/>
        <v>0</v>
      </c>
    </row>
    <row r="459" spans="1:14" x14ac:dyDescent="0.25">
      <c r="A459" t="s">
        <v>103</v>
      </c>
      <c r="B459" s="43" t="s">
        <v>104</v>
      </c>
      <c r="C459" s="62">
        <f>VLOOKUP(B459,合并仓明细!$D$2:$F$74,3,0)</f>
        <v>132</v>
      </c>
      <c r="D459" t="s">
        <v>413</v>
      </c>
      <c r="E459" s="43" t="s">
        <v>273</v>
      </c>
      <c r="F459" t="s">
        <v>68</v>
      </c>
      <c r="G459">
        <v>260.25011999999998</v>
      </c>
      <c r="H459">
        <v>1.8414176309200001</v>
      </c>
      <c r="I459" s="46">
        <f>ROUNDUP(H459/30,0)*VLOOKUP(D459,'报价表-配送'!$B$47:$I$51,8,0)</f>
        <v>0</v>
      </c>
      <c r="J459" s="38"/>
      <c r="K459" s="38"/>
      <c r="L459" s="37"/>
      <c r="M459" s="37"/>
      <c r="N459" s="38">
        <f t="shared" si="6"/>
        <v>0</v>
      </c>
    </row>
    <row r="460" spans="1:14" x14ac:dyDescent="0.25">
      <c r="A460" t="s">
        <v>103</v>
      </c>
      <c r="B460" s="43" t="s">
        <v>104</v>
      </c>
      <c r="C460" s="62">
        <f>VLOOKUP(B460,合并仓明细!$D$2:$F$74,3,0)</f>
        <v>132</v>
      </c>
      <c r="D460" t="s">
        <v>413</v>
      </c>
      <c r="E460" s="43" t="s">
        <v>273</v>
      </c>
      <c r="F460" t="s">
        <v>67</v>
      </c>
      <c r="G460">
        <v>524.3398529000001</v>
      </c>
      <c r="H460"/>
      <c r="N460" s="38">
        <f t="shared" ref="N460:N529" si="7">SUM(I460:M460)</f>
        <v>0</v>
      </c>
    </row>
    <row r="461" spans="1:14" x14ac:dyDescent="0.25">
      <c r="A461" t="s">
        <v>103</v>
      </c>
      <c r="B461" s="43" t="s">
        <v>104</v>
      </c>
      <c r="C461" s="62">
        <f>VLOOKUP(B461,合并仓明细!$D$2:$F$74,3,0)</f>
        <v>132</v>
      </c>
      <c r="D461" t="s">
        <v>413</v>
      </c>
      <c r="E461" s="43" t="s">
        <v>273</v>
      </c>
      <c r="F461" t="s">
        <v>66</v>
      </c>
      <c r="G461">
        <v>1056.8276580200002</v>
      </c>
      <c r="H461"/>
      <c r="L461" s="37"/>
      <c r="M461" s="39"/>
      <c r="N461" s="38">
        <f t="shared" si="7"/>
        <v>0</v>
      </c>
    </row>
    <row r="462" spans="1:14" x14ac:dyDescent="0.25">
      <c r="A462" t="s">
        <v>103</v>
      </c>
      <c r="B462" s="43" t="s">
        <v>104</v>
      </c>
      <c r="C462" s="62">
        <f>VLOOKUP(B462,合并仓明细!$D$2:$F$74,3,0)</f>
        <v>132</v>
      </c>
      <c r="D462" t="s">
        <v>413</v>
      </c>
      <c r="E462" s="43" t="s">
        <v>310</v>
      </c>
      <c r="F462" t="s">
        <v>68</v>
      </c>
      <c r="G462">
        <v>25.542960000000001</v>
      </c>
      <c r="H462">
        <v>1.9844005660100001</v>
      </c>
      <c r="I462" s="46">
        <f>ROUNDUP(H462/30,0)*VLOOKUP(D462,'报价表-配送'!$B$47:$I$51,8,0)</f>
        <v>0</v>
      </c>
      <c r="J462" s="37"/>
      <c r="K462" s="37"/>
      <c r="L462" s="37"/>
      <c r="M462" s="37"/>
      <c r="N462" s="38">
        <f t="shared" si="7"/>
        <v>0</v>
      </c>
    </row>
    <row r="463" spans="1:14" x14ac:dyDescent="0.25">
      <c r="A463" t="s">
        <v>103</v>
      </c>
      <c r="B463" s="43" t="s">
        <v>104</v>
      </c>
      <c r="C463" s="62">
        <f>VLOOKUP(B463,合并仓明细!$D$2:$F$74,3,0)</f>
        <v>132</v>
      </c>
      <c r="D463" t="s">
        <v>413</v>
      </c>
      <c r="E463" s="43" t="s">
        <v>310</v>
      </c>
      <c r="F463" t="s">
        <v>67</v>
      </c>
      <c r="G463">
        <v>485.51085599999999</v>
      </c>
      <c r="H463"/>
      <c r="N463" s="38">
        <f t="shared" si="7"/>
        <v>0</v>
      </c>
    </row>
    <row r="464" spans="1:14" x14ac:dyDescent="0.25">
      <c r="A464" t="s">
        <v>103</v>
      </c>
      <c r="B464" s="43" t="s">
        <v>104</v>
      </c>
      <c r="C464" s="62">
        <f>VLOOKUP(B464,合并仓明细!$D$2:$F$74,3,0)</f>
        <v>132</v>
      </c>
      <c r="D464" t="s">
        <v>413</v>
      </c>
      <c r="E464" s="43" t="s">
        <v>310</v>
      </c>
      <c r="F464" t="s">
        <v>66</v>
      </c>
      <c r="G464">
        <v>1473.3467500100001</v>
      </c>
      <c r="H464"/>
      <c r="N464" s="38">
        <f t="shared" si="7"/>
        <v>0</v>
      </c>
    </row>
    <row r="465" spans="1:14" x14ac:dyDescent="0.25">
      <c r="A465" t="s">
        <v>103</v>
      </c>
      <c r="B465" s="45" t="s">
        <v>104</v>
      </c>
      <c r="C465" s="62">
        <f>VLOOKUP(B465,合并仓明细!$D$2:$F$74,3,0)</f>
        <v>132</v>
      </c>
      <c r="D465" t="s">
        <v>413</v>
      </c>
      <c r="E465" s="43" t="s">
        <v>311</v>
      </c>
      <c r="F465" t="s">
        <v>68</v>
      </c>
      <c r="G465">
        <v>3843.7311599999994</v>
      </c>
      <c r="H465">
        <v>10.290121501729999</v>
      </c>
      <c r="I465" s="46">
        <f>ROUNDUP(H465/30,0)*VLOOKUP(D465,'报价表-配送'!$B$47:$I$51,8,0)</f>
        <v>0</v>
      </c>
      <c r="L465" s="37"/>
      <c r="M465" s="39"/>
      <c r="N465" s="38">
        <f t="shared" si="7"/>
        <v>0</v>
      </c>
    </row>
    <row r="466" spans="1:14" x14ac:dyDescent="0.25">
      <c r="A466" t="s">
        <v>103</v>
      </c>
      <c r="B466" s="44" t="s">
        <v>104</v>
      </c>
      <c r="C466" s="62">
        <f>VLOOKUP(B466,合并仓明细!$D$2:$F$74,3,0)</f>
        <v>132</v>
      </c>
      <c r="D466" t="s">
        <v>413</v>
      </c>
      <c r="E466" s="43" t="s">
        <v>311</v>
      </c>
      <c r="F466" t="s">
        <v>67</v>
      </c>
      <c r="G466">
        <v>2863.2265919999995</v>
      </c>
      <c r="H466"/>
      <c r="N466" s="38">
        <f t="shared" si="7"/>
        <v>0</v>
      </c>
    </row>
    <row r="467" spans="1:14" x14ac:dyDescent="0.25">
      <c r="A467" t="s">
        <v>103</v>
      </c>
      <c r="B467" s="43" t="s">
        <v>104</v>
      </c>
      <c r="C467" s="62">
        <f>VLOOKUP(B467,合并仓明细!$D$2:$F$74,3,0)</f>
        <v>132</v>
      </c>
      <c r="D467" t="s">
        <v>413</v>
      </c>
      <c r="E467" s="43" t="s">
        <v>311</v>
      </c>
      <c r="F467" t="s">
        <v>66</v>
      </c>
      <c r="G467">
        <v>3583.1637497300007</v>
      </c>
      <c r="H467"/>
      <c r="N467" s="38">
        <f t="shared" si="7"/>
        <v>0</v>
      </c>
    </row>
    <row r="468" spans="1:14" x14ac:dyDescent="0.25">
      <c r="A468" t="s">
        <v>103</v>
      </c>
      <c r="B468" s="43" t="s">
        <v>104</v>
      </c>
      <c r="C468" s="62">
        <f>VLOOKUP(B468,合并仓明细!$D$2:$F$74,3,0)</f>
        <v>132</v>
      </c>
      <c r="D468" t="s">
        <v>413</v>
      </c>
      <c r="E468" s="43" t="s">
        <v>312</v>
      </c>
      <c r="F468" t="s">
        <v>68</v>
      </c>
      <c r="G468">
        <v>114.94331999999999</v>
      </c>
      <c r="H468">
        <v>2.7191736586099995</v>
      </c>
      <c r="I468" s="46">
        <f>ROUNDUP(H468/30,0)*VLOOKUP(D468,'报价表-配送'!$B$47:$I$51,8,0)</f>
        <v>0</v>
      </c>
      <c r="N468" s="38">
        <f t="shared" si="7"/>
        <v>0</v>
      </c>
    </row>
    <row r="469" spans="1:14" x14ac:dyDescent="0.25">
      <c r="A469" t="s">
        <v>103</v>
      </c>
      <c r="B469" s="43" t="s">
        <v>104</v>
      </c>
      <c r="C469" s="62">
        <f>VLOOKUP(B469,合并仓明细!$D$2:$F$74,3,0)</f>
        <v>132</v>
      </c>
      <c r="D469" t="s">
        <v>413</v>
      </c>
      <c r="E469" s="43" t="s">
        <v>312</v>
      </c>
      <c r="F469" t="s">
        <v>67</v>
      </c>
      <c r="G469">
        <v>2088.3186719999999</v>
      </c>
      <c r="H469"/>
      <c r="N469" s="38">
        <f t="shared" si="7"/>
        <v>0</v>
      </c>
    </row>
    <row r="470" spans="1:14" x14ac:dyDescent="0.25">
      <c r="A470" t="s">
        <v>103</v>
      </c>
      <c r="B470" s="43" t="s">
        <v>104</v>
      </c>
      <c r="C470" s="62">
        <f>VLOOKUP(B470,合并仓明细!$D$2:$F$74,3,0)</f>
        <v>132</v>
      </c>
      <c r="D470" t="s">
        <v>413</v>
      </c>
      <c r="E470" s="43" t="s">
        <v>312</v>
      </c>
      <c r="F470" t="s">
        <v>66</v>
      </c>
      <c r="G470">
        <v>515.91166661</v>
      </c>
      <c r="H470"/>
      <c r="N470" s="38">
        <f t="shared" si="7"/>
        <v>0</v>
      </c>
    </row>
    <row r="471" spans="1:14" x14ac:dyDescent="0.25">
      <c r="A471" t="s">
        <v>103</v>
      </c>
      <c r="B471" s="43" t="s">
        <v>104</v>
      </c>
      <c r="C471" s="62">
        <f>VLOOKUP(B471,合并仓明细!$D$2:$F$74,3,0)</f>
        <v>132</v>
      </c>
      <c r="D471" t="s">
        <v>413</v>
      </c>
      <c r="E471" s="43" t="s">
        <v>313</v>
      </c>
      <c r="F471" t="s">
        <v>68</v>
      </c>
      <c r="G471">
        <v>3607.9974000000002</v>
      </c>
      <c r="H471">
        <v>7.0294158107700007</v>
      </c>
      <c r="I471" s="46">
        <f>ROUNDUP(H471/30,0)*VLOOKUP(D471,'报价表-配送'!$B$47:$I$51,8,0)</f>
        <v>0</v>
      </c>
      <c r="N471" s="38">
        <f t="shared" si="7"/>
        <v>0</v>
      </c>
    </row>
    <row r="472" spans="1:14" x14ac:dyDescent="0.25">
      <c r="A472" t="s">
        <v>103</v>
      </c>
      <c r="B472" s="43" t="s">
        <v>104</v>
      </c>
      <c r="C472" s="62">
        <f>VLOOKUP(B472,合并仓明细!$D$2:$F$74,3,0)</f>
        <v>132</v>
      </c>
      <c r="D472" t="s">
        <v>413</v>
      </c>
      <c r="E472" s="43" t="s">
        <v>313</v>
      </c>
      <c r="F472" t="s">
        <v>67</v>
      </c>
      <c r="G472">
        <v>1001.223888</v>
      </c>
      <c r="H472"/>
      <c r="N472" s="38">
        <f t="shared" si="7"/>
        <v>0</v>
      </c>
    </row>
    <row r="473" spans="1:14" x14ac:dyDescent="0.25">
      <c r="A473" t="s">
        <v>103</v>
      </c>
      <c r="B473" s="43" t="s">
        <v>104</v>
      </c>
      <c r="C473" s="62">
        <f>VLOOKUP(B473,合并仓明细!$D$2:$F$74,3,0)</f>
        <v>132</v>
      </c>
      <c r="D473" t="s">
        <v>413</v>
      </c>
      <c r="E473" s="43" t="s">
        <v>313</v>
      </c>
      <c r="F473" t="s">
        <v>66</v>
      </c>
      <c r="G473">
        <v>2420.1945227700003</v>
      </c>
      <c r="H473"/>
      <c r="N473" s="38">
        <f t="shared" si="7"/>
        <v>0</v>
      </c>
    </row>
    <row r="474" spans="1:14" x14ac:dyDescent="0.25">
      <c r="A474" t="s">
        <v>103</v>
      </c>
      <c r="B474" s="43" t="s">
        <v>104</v>
      </c>
      <c r="C474" s="62">
        <f>VLOOKUP(B474,合并仓明细!$D$2:$F$74,3,0)</f>
        <v>132</v>
      </c>
      <c r="D474" t="s">
        <v>413</v>
      </c>
      <c r="E474" s="43" t="s">
        <v>287</v>
      </c>
      <c r="F474" t="s">
        <v>66</v>
      </c>
      <c r="G474">
        <v>27.17666668</v>
      </c>
      <c r="H474">
        <v>2.7176666679999999E-2</v>
      </c>
      <c r="L474" s="37">
        <f>IF(H474&gt;30,QUOTIENT(H474,30)*VLOOKUP(D474,'报价表-配送'!$B$47:$I$51,8,0),0)+IF(AND(MOD(H474,30)&gt;18,MOD(H474,30)&lt;=30),1,0)*VLOOKUP(D474,'报价表-配送'!$B$47:$I$51,8,0)+IF(AND(MOD(H474,30)&gt;8,MOD(H474,30)&lt;=18),1*VLOOKUP(D474,'报价表-配送'!$B$47:$I$51,7,0),0)+IF(AND(MOD(H474,30)&lt;=8,MOD(H474,30)&gt;2.5),1,0)*VLOOKUP(D474,'报价表-配送'!$B$47:$I$51,6,0)+IF(AND(MOD(H474,30)&lt;=2.5,MOD(H474,30)&gt;=1.5),1,0)*VLOOKUP(D474,'报价表-配送'!$B$47:$I$51,5,0)</f>
        <v>0</v>
      </c>
      <c r="M474" s="39">
        <f>IF(AND(MOD(H474,30)&lt;1.5,MOD(H474,30)&gt;=0.5),H474,0)*VLOOKUP(D474,'报价表-配送'!$B$47:$I$51,4,0)*1000+IF(AND(MOD(H474,30)&lt;0.5,MOD(H474,30)&gt;=0.02),H474,0)*VLOOKUP(D474,'报价表-配送'!$B$47:$I$51,3,0)*1000+IF(AND(MOD(H474,30)&lt;0.02),H474,0)*VLOOKUP(D474,'报价表-配送'!$B$47:$I$51,2,0)*1000</f>
        <v>0</v>
      </c>
      <c r="N474" s="38">
        <f t="shared" si="7"/>
        <v>0</v>
      </c>
    </row>
    <row r="475" spans="1:14" x14ac:dyDescent="0.25">
      <c r="A475" t="s">
        <v>103</v>
      </c>
      <c r="B475" s="43" t="s">
        <v>104</v>
      </c>
      <c r="C475" s="62">
        <f>VLOOKUP(B475,合并仓明细!$D$2:$F$74,3,0)</f>
        <v>132</v>
      </c>
      <c r="D475" t="s">
        <v>413</v>
      </c>
      <c r="E475" s="43" t="s">
        <v>288</v>
      </c>
      <c r="F475" t="s">
        <v>67</v>
      </c>
      <c r="G475">
        <v>1989.5093580000002</v>
      </c>
      <c r="H475">
        <v>4.0277510242200005</v>
      </c>
      <c r="I475" s="38">
        <f>IF(H475&gt;30,QUOTIENT(H475,30)*VLOOKUP(D475,'报价表-配送'!$B$47:$I$51,8,0),0)+IF(AND(MOD(H475,30)&gt;18,MOD(H475,30)&lt;=30),1,0)*VLOOKUP(D475,'报价表-配送'!$B$47:$I$51,8,0)</f>
        <v>0</v>
      </c>
      <c r="J475" s="38">
        <f>IF(AND(MOD(H475,30)&gt;8,MOD(H475,30)&lt;=18),1*VLOOKUP(D475,'报价表-配送'!$B$47:$I$51,7,0),0)</f>
        <v>0</v>
      </c>
      <c r="K475" s="38">
        <f>IF(AND(MOD(H475,30)&lt;=8,MOD(H475,30)&gt;0),1,0)*VLOOKUP(D475,'报价表-配送'!$B$47:$I$51,6,0)</f>
        <v>0</v>
      </c>
      <c r="N475" s="38">
        <f t="shared" si="7"/>
        <v>0</v>
      </c>
    </row>
    <row r="476" spans="1:14" x14ac:dyDescent="0.25">
      <c r="A476" t="s">
        <v>103</v>
      </c>
      <c r="B476" s="43" t="s">
        <v>104</v>
      </c>
      <c r="C476" s="62">
        <f>VLOOKUP(B476,合并仓明细!$D$2:$F$74,3,0)</f>
        <v>132</v>
      </c>
      <c r="D476" t="s">
        <v>413</v>
      </c>
      <c r="E476" s="43" t="s">
        <v>288</v>
      </c>
      <c r="F476" t="s">
        <v>66</v>
      </c>
      <c r="G476">
        <v>2038.2416662200001</v>
      </c>
      <c r="H476"/>
      <c r="N476" s="38">
        <f t="shared" si="7"/>
        <v>0</v>
      </c>
    </row>
    <row r="477" spans="1:14" x14ac:dyDescent="0.25">
      <c r="A477" t="s">
        <v>103</v>
      </c>
      <c r="B477" s="43" t="s">
        <v>104</v>
      </c>
      <c r="C477" s="62">
        <f>VLOOKUP(B477,合并仓明细!$D$2:$F$74,3,0)</f>
        <v>132</v>
      </c>
      <c r="D477" t="s">
        <v>413</v>
      </c>
      <c r="E477" s="43" t="s">
        <v>314</v>
      </c>
      <c r="F477" t="s">
        <v>68</v>
      </c>
      <c r="G477">
        <v>6883.2524400000002</v>
      </c>
      <c r="H477">
        <v>8.9353669186500007</v>
      </c>
      <c r="I477" s="46">
        <f>ROUNDUP(H477/30,0)*VLOOKUP(D477,'报价表-配送'!$B$47:$I$51,8,0)</f>
        <v>0</v>
      </c>
      <c r="N477" s="38">
        <f t="shared" si="7"/>
        <v>0</v>
      </c>
    </row>
    <row r="478" spans="1:14" x14ac:dyDescent="0.25">
      <c r="A478" t="s">
        <v>103</v>
      </c>
      <c r="B478" s="43" t="s">
        <v>104</v>
      </c>
      <c r="C478" s="62">
        <f>VLOOKUP(B478,合并仓明细!$D$2:$F$74,3,0)</f>
        <v>132</v>
      </c>
      <c r="D478" t="s">
        <v>413</v>
      </c>
      <c r="E478" s="43" t="s">
        <v>314</v>
      </c>
      <c r="F478" t="s">
        <v>67</v>
      </c>
      <c r="G478">
        <v>788.34447865000004</v>
      </c>
      <c r="H478"/>
      <c r="N478" s="38">
        <f t="shared" si="7"/>
        <v>0</v>
      </c>
    </row>
    <row r="479" spans="1:14" x14ac:dyDescent="0.25">
      <c r="A479" t="s">
        <v>103</v>
      </c>
      <c r="B479" s="43" t="s">
        <v>104</v>
      </c>
      <c r="C479" s="62">
        <f>VLOOKUP(B479,合并仓明细!$D$2:$F$74,3,0)</f>
        <v>132</v>
      </c>
      <c r="D479" t="s">
        <v>413</v>
      </c>
      <c r="E479" s="43" t="s">
        <v>314</v>
      </c>
      <c r="F479" t="s">
        <v>66</v>
      </c>
      <c r="G479">
        <v>1263.7700000000002</v>
      </c>
      <c r="H479"/>
      <c r="N479" s="38">
        <f t="shared" si="7"/>
        <v>0</v>
      </c>
    </row>
    <row r="480" spans="1:14" x14ac:dyDescent="0.25">
      <c r="A480" t="s">
        <v>103</v>
      </c>
      <c r="B480" s="43" t="s">
        <v>104</v>
      </c>
      <c r="C480" s="62">
        <f>VLOOKUP(B480,合并仓明细!$D$2:$F$74,3,0)</f>
        <v>132</v>
      </c>
      <c r="D480" t="s">
        <v>413</v>
      </c>
      <c r="E480" s="43" t="s">
        <v>315</v>
      </c>
      <c r="F480" t="s">
        <v>66</v>
      </c>
      <c r="G480">
        <v>2489.9317596300016</v>
      </c>
      <c r="H480">
        <v>2.4899317596300015</v>
      </c>
      <c r="L480" s="37">
        <f>IF(H480&gt;30,QUOTIENT(H480,30)*VLOOKUP(D480,'报价表-配送'!$B$47:$I$51,8,0),0)+IF(AND(MOD(H480,30)&gt;18,MOD(H480,30)&lt;=30),1,0)*VLOOKUP(D480,'报价表-配送'!$B$47:$I$51,8,0)+IF(AND(MOD(H480,30)&gt;8,MOD(H480,30)&lt;=18),1*VLOOKUP(D480,'报价表-配送'!$B$47:$I$51,7,0),0)+IF(AND(MOD(H480,30)&lt;=8,MOD(H480,30)&gt;2.5),1,0)*VLOOKUP(D480,'报价表-配送'!$B$47:$I$51,6,0)+IF(AND(MOD(H480,30)&lt;=2.5,MOD(H480,30)&gt;=1.5),1,0)*VLOOKUP(D480,'报价表-配送'!$B$47:$I$51,5,0)</f>
        <v>0</v>
      </c>
      <c r="M480" s="39">
        <f>IF(AND(MOD(H480,30)&lt;1.5,MOD(H480,30)&gt;=0.5),H480,0)*VLOOKUP(D480,'报价表-配送'!$B$47:$I$51,4,0)*1000+IF(AND(MOD(H480,30)&lt;0.5,MOD(H480,30)&gt;=0.02),H480,0)*VLOOKUP(D480,'报价表-配送'!$B$47:$I$51,3,0)*1000+IF(AND(MOD(H480,30)&lt;0.02),H480,0)*VLOOKUP(D480,'报价表-配送'!$B$47:$I$51,2,0)*1000</f>
        <v>0</v>
      </c>
      <c r="N480" s="38">
        <f t="shared" si="7"/>
        <v>0</v>
      </c>
    </row>
    <row r="481" spans="1:14" x14ac:dyDescent="0.25">
      <c r="A481" t="s">
        <v>103</v>
      </c>
      <c r="B481" s="43" t="s">
        <v>104</v>
      </c>
      <c r="C481" s="62">
        <f>VLOOKUP(B481,合并仓明细!$D$2:$F$74,3,0)</f>
        <v>132</v>
      </c>
      <c r="D481" t="s">
        <v>413</v>
      </c>
      <c r="E481" s="43" t="s">
        <v>316</v>
      </c>
      <c r="F481" t="s">
        <v>66</v>
      </c>
      <c r="G481">
        <v>1982.4749999999997</v>
      </c>
      <c r="H481">
        <v>1.9824749999999998</v>
      </c>
      <c r="L481" s="37">
        <f>IF(H481&gt;30,QUOTIENT(H481,30)*VLOOKUP(D481,'报价表-配送'!$B$47:$I$51,8,0),0)+IF(AND(MOD(H481,30)&gt;18,MOD(H481,30)&lt;=30),1,0)*VLOOKUP(D481,'报价表-配送'!$B$47:$I$51,8,0)+IF(AND(MOD(H481,30)&gt;8,MOD(H481,30)&lt;=18),1*VLOOKUP(D481,'报价表-配送'!$B$47:$I$51,7,0),0)+IF(AND(MOD(H481,30)&lt;=8,MOD(H481,30)&gt;2.5),1,0)*VLOOKUP(D481,'报价表-配送'!$B$47:$I$51,6,0)+IF(AND(MOD(H481,30)&lt;=2.5,MOD(H481,30)&gt;=1.5),1,0)*VLOOKUP(D481,'报价表-配送'!$B$47:$I$51,5,0)</f>
        <v>0</v>
      </c>
      <c r="M481" s="39">
        <f>IF(AND(MOD(H481,30)&lt;1.5,MOD(H481,30)&gt;=0.5),H481,0)*VLOOKUP(D481,'报价表-配送'!$B$47:$I$51,4,0)*1000+IF(AND(MOD(H481,30)&lt;0.5,MOD(H481,30)&gt;=0.02),H481,0)*VLOOKUP(D481,'报价表-配送'!$B$47:$I$51,3,0)*1000+IF(AND(MOD(H481,30)&lt;0.02),H481,0)*VLOOKUP(D481,'报价表-配送'!$B$47:$I$51,2,0)*1000</f>
        <v>0</v>
      </c>
      <c r="N481" s="38">
        <f t="shared" si="7"/>
        <v>0</v>
      </c>
    </row>
    <row r="482" spans="1:14" x14ac:dyDescent="0.25">
      <c r="A482" t="s">
        <v>103</v>
      </c>
      <c r="B482" s="43" t="s">
        <v>104</v>
      </c>
      <c r="C482" s="62">
        <f>VLOOKUP(B482,合并仓明细!$D$2:$F$74,3,0)</f>
        <v>132</v>
      </c>
      <c r="D482" t="s">
        <v>413</v>
      </c>
      <c r="E482" s="43" t="s">
        <v>293</v>
      </c>
      <c r="F482" t="s">
        <v>68</v>
      </c>
      <c r="G482">
        <v>919.54655999999989</v>
      </c>
      <c r="H482">
        <v>3.5155671183499999</v>
      </c>
      <c r="I482" s="46">
        <f>ROUNDUP(H482/30,0)*VLOOKUP(D482,'报价表-配送'!$B$47:$I$51,8,0)</f>
        <v>0</v>
      </c>
      <c r="N482" s="38">
        <f t="shared" si="7"/>
        <v>0</v>
      </c>
    </row>
    <row r="483" spans="1:14" x14ac:dyDescent="0.25">
      <c r="A483" t="s">
        <v>103</v>
      </c>
      <c r="B483" s="43" t="s">
        <v>104</v>
      </c>
      <c r="C483" s="62">
        <f>VLOOKUP(B483,合并仓明细!$D$2:$F$74,3,0)</f>
        <v>132</v>
      </c>
      <c r="D483" t="s">
        <v>413</v>
      </c>
      <c r="E483" s="43" t="s">
        <v>293</v>
      </c>
      <c r="F483" t="s">
        <v>67</v>
      </c>
      <c r="G483">
        <v>1235.401392</v>
      </c>
      <c r="H483"/>
      <c r="N483" s="38">
        <f t="shared" si="7"/>
        <v>0</v>
      </c>
    </row>
    <row r="484" spans="1:14" x14ac:dyDescent="0.25">
      <c r="A484" t="s">
        <v>103</v>
      </c>
      <c r="B484" s="43" t="s">
        <v>104</v>
      </c>
      <c r="C484" s="62">
        <f>VLOOKUP(B484,合并仓明细!$D$2:$F$74,3,0)</f>
        <v>132</v>
      </c>
      <c r="D484" t="s">
        <v>413</v>
      </c>
      <c r="E484" s="43" t="s">
        <v>293</v>
      </c>
      <c r="F484" t="s">
        <v>66</v>
      </c>
      <c r="G484">
        <v>1360.6191663500001</v>
      </c>
      <c r="H484"/>
      <c r="N484" s="38">
        <f t="shared" si="7"/>
        <v>0</v>
      </c>
    </row>
    <row r="485" spans="1:14" x14ac:dyDescent="0.25">
      <c r="A485" t="s">
        <v>103</v>
      </c>
      <c r="B485" s="43" t="s">
        <v>104</v>
      </c>
      <c r="C485" s="62">
        <f>VLOOKUP(B485,合并仓明细!$D$2:$F$74,3,0)</f>
        <v>132</v>
      </c>
      <c r="D485" t="s">
        <v>413</v>
      </c>
      <c r="E485" s="43" t="s">
        <v>317</v>
      </c>
      <c r="F485" t="s">
        <v>68</v>
      </c>
      <c r="G485">
        <v>280.97255999999999</v>
      </c>
      <c r="H485">
        <v>4.3285035913899996</v>
      </c>
      <c r="I485" s="46">
        <f>ROUNDUP(H485/30,0)*VLOOKUP(D485,'报价表-配送'!$B$47:$I$51,8,0)</f>
        <v>0</v>
      </c>
      <c r="N485" s="38">
        <f t="shared" si="7"/>
        <v>0</v>
      </c>
    </row>
    <row r="486" spans="1:14" x14ac:dyDescent="0.25">
      <c r="A486" t="s">
        <v>103</v>
      </c>
      <c r="B486" s="43" t="s">
        <v>104</v>
      </c>
      <c r="C486" s="62">
        <f>VLOOKUP(B486,合并仓明细!$D$2:$F$74,3,0)</f>
        <v>132</v>
      </c>
      <c r="D486" t="s">
        <v>413</v>
      </c>
      <c r="E486" s="43" t="s">
        <v>317</v>
      </c>
      <c r="F486" t="s">
        <v>67</v>
      </c>
      <c r="G486">
        <v>3282.5485319999993</v>
      </c>
      <c r="H486"/>
      <c r="N486" s="38">
        <f t="shared" si="7"/>
        <v>0</v>
      </c>
    </row>
    <row r="487" spans="1:14" x14ac:dyDescent="0.25">
      <c r="A487" t="s">
        <v>103</v>
      </c>
      <c r="B487" s="43" t="s">
        <v>104</v>
      </c>
      <c r="C487" s="62">
        <f>VLOOKUP(B487,合并仓明细!$D$2:$F$74,3,0)</f>
        <v>132</v>
      </c>
      <c r="D487" t="s">
        <v>413</v>
      </c>
      <c r="E487" s="43" t="s">
        <v>317</v>
      </c>
      <c r="F487" t="s">
        <v>66</v>
      </c>
      <c r="G487">
        <v>764.9824993899997</v>
      </c>
      <c r="H487"/>
      <c r="N487" s="38">
        <f t="shared" si="7"/>
        <v>0</v>
      </c>
    </row>
    <row r="488" spans="1:14" x14ac:dyDescent="0.25">
      <c r="A488" t="s">
        <v>103</v>
      </c>
      <c r="B488" s="45" t="s">
        <v>104</v>
      </c>
      <c r="C488" s="62">
        <f>VLOOKUP(B488,合并仓明细!$D$2:$F$74,3,0)</f>
        <v>132</v>
      </c>
      <c r="D488" t="s">
        <v>413</v>
      </c>
      <c r="E488" s="43" t="s">
        <v>298</v>
      </c>
      <c r="F488" t="s">
        <v>68</v>
      </c>
      <c r="G488">
        <v>2448.0528000000004</v>
      </c>
      <c r="H488">
        <v>10.817124802419999</v>
      </c>
      <c r="I488" s="46">
        <f>ROUNDUP(H488/30,0)*VLOOKUP(D488,'报价表-配送'!$B$47:$I$51,8,0)</f>
        <v>0</v>
      </c>
      <c r="N488" s="38">
        <f t="shared" si="7"/>
        <v>0</v>
      </c>
    </row>
    <row r="489" spans="1:14" x14ac:dyDescent="0.25">
      <c r="A489" t="s">
        <v>103</v>
      </c>
      <c r="B489" s="44" t="s">
        <v>104</v>
      </c>
      <c r="C489" s="62">
        <f>VLOOKUP(B489,合并仓明细!$D$2:$F$74,3,0)</f>
        <v>132</v>
      </c>
      <c r="D489" t="s">
        <v>413</v>
      </c>
      <c r="E489" s="43" t="s">
        <v>298</v>
      </c>
      <c r="F489" t="s">
        <v>67</v>
      </c>
      <c r="G489">
        <v>6172.0196820000001</v>
      </c>
      <c r="H489"/>
      <c r="I489" s="38"/>
      <c r="J489" s="38"/>
      <c r="K489" s="38"/>
      <c r="L489" s="37"/>
      <c r="M489" s="37"/>
      <c r="N489" s="38">
        <f t="shared" si="7"/>
        <v>0</v>
      </c>
    </row>
    <row r="490" spans="1:14" x14ac:dyDescent="0.25">
      <c r="A490" t="s">
        <v>103</v>
      </c>
      <c r="B490" s="43" t="s">
        <v>104</v>
      </c>
      <c r="C490" s="62">
        <f>VLOOKUP(B490,合并仓明细!$D$2:$F$74,3,0)</f>
        <v>132</v>
      </c>
      <c r="D490" t="s">
        <v>413</v>
      </c>
      <c r="E490" s="43" t="s">
        <v>298</v>
      </c>
      <c r="F490" t="s">
        <v>66</v>
      </c>
      <c r="G490">
        <v>2197.0523204199999</v>
      </c>
      <c r="H490"/>
      <c r="N490" s="38">
        <f t="shared" si="7"/>
        <v>0</v>
      </c>
    </row>
    <row r="491" spans="1:14" x14ac:dyDescent="0.25">
      <c r="A491" t="s">
        <v>103</v>
      </c>
      <c r="B491" s="43" t="s">
        <v>104</v>
      </c>
      <c r="C491" s="62">
        <f>VLOOKUP(B491,合并仓明细!$D$2:$F$74,3,0)</f>
        <v>132</v>
      </c>
      <c r="D491" t="s">
        <v>413</v>
      </c>
      <c r="E491" s="43" t="s">
        <v>318</v>
      </c>
      <c r="F491" t="s">
        <v>68</v>
      </c>
      <c r="G491">
        <v>549.17363999999998</v>
      </c>
      <c r="H491">
        <v>4.24747588412</v>
      </c>
      <c r="I491" s="46">
        <f>ROUNDUP(H491/30,0)*VLOOKUP(D491,'报价表-配送'!$B$47:$I$51,8,0)</f>
        <v>0</v>
      </c>
      <c r="L491" s="37"/>
      <c r="M491" s="39"/>
      <c r="N491" s="38">
        <f t="shared" si="7"/>
        <v>0</v>
      </c>
    </row>
    <row r="492" spans="1:14" x14ac:dyDescent="0.25">
      <c r="A492" t="s">
        <v>103</v>
      </c>
      <c r="B492" s="43" t="s">
        <v>104</v>
      </c>
      <c r="C492" s="62">
        <f>VLOOKUP(B492,合并仓明细!$D$2:$F$74,3,0)</f>
        <v>132</v>
      </c>
      <c r="D492" t="s">
        <v>413</v>
      </c>
      <c r="E492" s="43" t="s">
        <v>318</v>
      </c>
      <c r="F492" t="s">
        <v>67</v>
      </c>
      <c r="G492">
        <v>2865.4868280000001</v>
      </c>
      <c r="H492"/>
      <c r="I492" s="38"/>
      <c r="J492" s="38"/>
      <c r="K492" s="38"/>
      <c r="L492" s="37"/>
      <c r="M492" s="37"/>
      <c r="N492" s="38">
        <f t="shared" si="7"/>
        <v>0</v>
      </c>
    </row>
    <row r="493" spans="1:14" x14ac:dyDescent="0.25">
      <c r="A493" t="s">
        <v>103</v>
      </c>
      <c r="B493" s="43" t="s">
        <v>104</v>
      </c>
      <c r="C493" s="62">
        <f>VLOOKUP(B493,合并仓明细!$D$2:$F$74,3,0)</f>
        <v>132</v>
      </c>
      <c r="D493" t="s">
        <v>413</v>
      </c>
      <c r="E493" s="43" t="s">
        <v>318</v>
      </c>
      <c r="F493" t="s">
        <v>66</v>
      </c>
      <c r="G493">
        <v>832.81541612000012</v>
      </c>
      <c r="H493"/>
      <c r="N493" s="38">
        <f t="shared" si="7"/>
        <v>0</v>
      </c>
    </row>
    <row r="494" spans="1:14" x14ac:dyDescent="0.25">
      <c r="A494" t="s">
        <v>103</v>
      </c>
      <c r="B494" s="43" t="s">
        <v>104</v>
      </c>
      <c r="C494" s="62">
        <f>VLOOKUP(B494,合并仓明细!$D$2:$F$74,3,0)</f>
        <v>132</v>
      </c>
      <c r="D494" t="s">
        <v>413</v>
      </c>
      <c r="E494" s="43" t="s">
        <v>319</v>
      </c>
      <c r="F494" t="s">
        <v>68</v>
      </c>
      <c r="G494">
        <v>357.60144000000003</v>
      </c>
      <c r="H494">
        <v>6.8386483199999999</v>
      </c>
      <c r="I494" s="46">
        <f>ROUNDUP(H494/30,0)*VLOOKUP(D494,'报价表-配送'!$B$47:$I$51,8,0)</f>
        <v>0</v>
      </c>
      <c r="L494" s="37"/>
      <c r="M494" s="39"/>
      <c r="N494" s="38">
        <f t="shared" si="7"/>
        <v>0</v>
      </c>
    </row>
    <row r="495" spans="1:14" x14ac:dyDescent="0.25">
      <c r="A495" t="s">
        <v>103</v>
      </c>
      <c r="B495" s="43" t="s">
        <v>104</v>
      </c>
      <c r="C495" s="62">
        <f>VLOOKUP(B495,合并仓明细!$D$2:$F$74,3,0)</f>
        <v>132</v>
      </c>
      <c r="D495" t="s">
        <v>413</v>
      </c>
      <c r="E495" s="43" t="s">
        <v>319</v>
      </c>
      <c r="F495" t="s">
        <v>67</v>
      </c>
      <c r="G495">
        <v>5927.1868800000002</v>
      </c>
      <c r="H495"/>
      <c r="L495" s="37"/>
      <c r="M495" s="39"/>
      <c r="N495" s="38">
        <f t="shared" si="7"/>
        <v>0</v>
      </c>
    </row>
    <row r="496" spans="1:14" x14ac:dyDescent="0.25">
      <c r="A496" t="s">
        <v>103</v>
      </c>
      <c r="B496" s="43" t="s">
        <v>104</v>
      </c>
      <c r="C496" s="62">
        <f>VLOOKUP(B496,合并仓明细!$D$2:$F$74,3,0)</f>
        <v>132</v>
      </c>
      <c r="D496" t="s">
        <v>413</v>
      </c>
      <c r="E496" s="43" t="s">
        <v>319</v>
      </c>
      <c r="F496" t="s">
        <v>66</v>
      </c>
      <c r="G496">
        <v>553.86</v>
      </c>
      <c r="H496"/>
      <c r="L496" s="37"/>
      <c r="M496" s="39"/>
      <c r="N496" s="38">
        <f t="shared" si="7"/>
        <v>0</v>
      </c>
    </row>
    <row r="497" spans="1:14" x14ac:dyDescent="0.25">
      <c r="A497" t="s">
        <v>103</v>
      </c>
      <c r="B497" s="43" t="s">
        <v>104</v>
      </c>
      <c r="C497" s="62">
        <f>VLOOKUP(B497,合并仓明细!$D$2:$F$74,3,0)</f>
        <v>132</v>
      </c>
      <c r="D497" t="s">
        <v>413</v>
      </c>
      <c r="E497" s="43" t="s">
        <v>320</v>
      </c>
      <c r="F497" t="s">
        <v>66</v>
      </c>
      <c r="G497">
        <v>37.690000000000005</v>
      </c>
      <c r="H497">
        <v>3.7690000000000008E-2</v>
      </c>
      <c r="I497" s="46"/>
      <c r="J497" s="37"/>
      <c r="K497" s="37"/>
      <c r="L497" s="37">
        <f>IF(H497&gt;30,QUOTIENT(H497,30)*VLOOKUP(D497,'报价表-配送'!$B$47:$I$51,8,0),0)+IF(AND(MOD(H497,30)&gt;18,MOD(H497,30)&lt;=30),1,0)*VLOOKUP(D497,'报价表-配送'!$B$47:$I$51,8,0)+IF(AND(MOD(H497,30)&gt;8,MOD(H497,30)&lt;=18),1*VLOOKUP(D497,'报价表-配送'!$B$47:$I$51,7,0),0)+IF(AND(MOD(H497,30)&lt;=8,MOD(H497,30)&gt;2.5),1,0)*VLOOKUP(D497,'报价表-配送'!$B$47:$I$51,6,0)+IF(AND(MOD(H497,30)&lt;=2.5,MOD(H497,30)&gt;=1.5),1,0)*VLOOKUP(D497,'报价表-配送'!$B$47:$I$51,5,0)</f>
        <v>0</v>
      </c>
      <c r="M497" s="39">
        <f>IF(AND(MOD(H497,30)&lt;1.5,MOD(H497,30)&gt;=0.5),H497,0)*VLOOKUP(D497,'报价表-配送'!$B$47:$I$51,4,0)*1000+IF(AND(MOD(H497,30)&lt;0.5,MOD(H497,30)&gt;=0.02),H497,0)*VLOOKUP(D497,'报价表-配送'!$B$47:$I$51,3,0)*1000+IF(AND(MOD(H497,30)&lt;0.02),H497,0)*VLOOKUP(D497,'报价表-配送'!$B$47:$I$51,2,0)*1000</f>
        <v>0</v>
      </c>
      <c r="N497" s="38">
        <f t="shared" si="7"/>
        <v>0</v>
      </c>
    </row>
    <row r="498" spans="1:14" x14ac:dyDescent="0.25">
      <c r="A498" t="s">
        <v>103</v>
      </c>
      <c r="B498" s="43" t="s">
        <v>104</v>
      </c>
      <c r="C498" s="62">
        <f>VLOOKUP(B498,合并仓明细!$D$2:$F$74,3,0)</f>
        <v>132</v>
      </c>
      <c r="D498" t="s">
        <v>413</v>
      </c>
      <c r="E498" s="43" t="s">
        <v>321</v>
      </c>
      <c r="F498" t="s">
        <v>68</v>
      </c>
      <c r="G498">
        <v>2005.1223600000001</v>
      </c>
      <c r="H498">
        <v>6.4123874730200008</v>
      </c>
      <c r="I498" s="46">
        <f>ROUNDUP(H498/30,0)*VLOOKUP(D498,'报价表-配送'!$B$47:$I$51,8,0)</f>
        <v>0</v>
      </c>
      <c r="N498" s="38">
        <f t="shared" si="7"/>
        <v>0</v>
      </c>
    </row>
    <row r="499" spans="1:14" x14ac:dyDescent="0.25">
      <c r="A499" t="s">
        <v>103</v>
      </c>
      <c r="B499" s="43" t="s">
        <v>104</v>
      </c>
      <c r="C499" s="62">
        <f>VLOOKUP(B499,合并仓明细!$D$2:$F$74,3,0)</f>
        <v>132</v>
      </c>
      <c r="D499" t="s">
        <v>413</v>
      </c>
      <c r="E499" s="43" t="s">
        <v>321</v>
      </c>
      <c r="F499" t="s">
        <v>67</v>
      </c>
      <c r="G499">
        <v>874.15834599999994</v>
      </c>
      <c r="H499"/>
      <c r="L499" s="37"/>
      <c r="M499" s="39"/>
      <c r="N499" s="38">
        <f t="shared" si="7"/>
        <v>0</v>
      </c>
    </row>
    <row r="500" spans="1:14" x14ac:dyDescent="0.25">
      <c r="A500" t="s">
        <v>103</v>
      </c>
      <c r="B500" s="43" t="s">
        <v>104</v>
      </c>
      <c r="C500" s="62">
        <f>VLOOKUP(B500,合并仓明细!$D$2:$F$74,3,0)</f>
        <v>132</v>
      </c>
      <c r="D500" t="s">
        <v>413</v>
      </c>
      <c r="E500" s="43" t="s">
        <v>321</v>
      </c>
      <c r="F500" t="s">
        <v>66</v>
      </c>
      <c r="G500">
        <v>3533.1067670200005</v>
      </c>
      <c r="H500"/>
      <c r="L500" s="37"/>
      <c r="M500" s="39"/>
      <c r="N500" s="38">
        <f t="shared" si="7"/>
        <v>0</v>
      </c>
    </row>
    <row r="501" spans="1:14" x14ac:dyDescent="0.25">
      <c r="A501" t="s">
        <v>103</v>
      </c>
      <c r="B501" s="43" t="s">
        <v>104</v>
      </c>
      <c r="C501" s="62">
        <f>VLOOKUP(B501,合并仓明细!$D$2:$F$74,3,0)</f>
        <v>132</v>
      </c>
      <c r="D501" t="s">
        <v>413</v>
      </c>
      <c r="E501" s="43" t="s">
        <v>304</v>
      </c>
      <c r="F501" t="s">
        <v>68</v>
      </c>
      <c r="G501">
        <v>25.542960000000001</v>
      </c>
      <c r="H501">
        <v>2.0116417096399997</v>
      </c>
      <c r="I501" s="46">
        <f>ROUNDUP(H501/30,0)*VLOOKUP(D501,'报价表-配送'!$B$47:$I$51,8,0)</f>
        <v>0</v>
      </c>
      <c r="L501" s="37"/>
      <c r="M501" s="39"/>
      <c r="N501" s="38">
        <f t="shared" si="7"/>
        <v>0</v>
      </c>
    </row>
    <row r="502" spans="1:14" x14ac:dyDescent="0.25">
      <c r="A502" t="s">
        <v>103</v>
      </c>
      <c r="B502" s="43" t="s">
        <v>104</v>
      </c>
      <c r="C502" s="62">
        <f>VLOOKUP(B502,合并仓明细!$D$2:$F$74,3,0)</f>
        <v>132</v>
      </c>
      <c r="D502" t="s">
        <v>413</v>
      </c>
      <c r="E502" s="43" t="s">
        <v>304</v>
      </c>
      <c r="F502" t="s">
        <v>67</v>
      </c>
      <c r="G502">
        <v>1065.854053</v>
      </c>
      <c r="H502"/>
      <c r="I502" s="38"/>
      <c r="J502" s="38"/>
      <c r="K502" s="38"/>
      <c r="L502" s="37"/>
      <c r="M502" s="37"/>
      <c r="N502" s="38">
        <f t="shared" si="7"/>
        <v>0</v>
      </c>
    </row>
    <row r="503" spans="1:14" x14ac:dyDescent="0.25">
      <c r="A503" t="s">
        <v>103</v>
      </c>
      <c r="B503" s="43" t="s">
        <v>104</v>
      </c>
      <c r="C503" s="62">
        <f>VLOOKUP(B503,合并仓明细!$D$2:$F$74,3,0)</f>
        <v>132</v>
      </c>
      <c r="D503" t="s">
        <v>413</v>
      </c>
      <c r="E503" s="43" t="s">
        <v>304</v>
      </c>
      <c r="F503" t="s">
        <v>66</v>
      </c>
      <c r="G503">
        <v>920.2446966399998</v>
      </c>
      <c r="H503"/>
      <c r="N503" s="38">
        <f t="shared" si="7"/>
        <v>0</v>
      </c>
    </row>
    <row r="504" spans="1:14" x14ac:dyDescent="0.25">
      <c r="A504" t="s">
        <v>103</v>
      </c>
      <c r="B504" s="43" t="s">
        <v>104</v>
      </c>
      <c r="C504" s="62">
        <f>VLOOKUP(B504,合并仓明细!$D$2:$F$74,3,0)</f>
        <v>132</v>
      </c>
      <c r="D504" t="s">
        <v>413</v>
      </c>
      <c r="E504" s="43" t="s">
        <v>254</v>
      </c>
      <c r="F504" t="s">
        <v>68</v>
      </c>
      <c r="G504">
        <v>4026.2547600000003</v>
      </c>
      <c r="H504">
        <v>5.1158438797300008</v>
      </c>
      <c r="I504" s="46">
        <f>ROUNDUP(H504/30,0)*VLOOKUP(D504,'报价表-配送'!$B$47:$I$51,8,0)</f>
        <v>0</v>
      </c>
      <c r="J504" s="37"/>
      <c r="K504" s="37"/>
      <c r="L504" s="37"/>
      <c r="M504" s="37"/>
      <c r="N504" s="38">
        <f t="shared" si="7"/>
        <v>0</v>
      </c>
    </row>
    <row r="505" spans="1:14" x14ac:dyDescent="0.25">
      <c r="A505" t="s">
        <v>103</v>
      </c>
      <c r="B505" s="43" t="s">
        <v>104</v>
      </c>
      <c r="C505" s="62">
        <f>VLOOKUP(B505,合并仓明细!$D$2:$F$74,3,0)</f>
        <v>132</v>
      </c>
      <c r="D505" t="s">
        <v>413</v>
      </c>
      <c r="E505" s="43" t="s">
        <v>254</v>
      </c>
      <c r="F505" t="s">
        <v>67</v>
      </c>
      <c r="G505">
        <v>445.54078800000002</v>
      </c>
      <c r="H505"/>
      <c r="N505" s="38">
        <f t="shared" si="7"/>
        <v>0</v>
      </c>
    </row>
    <row r="506" spans="1:14" x14ac:dyDescent="0.25">
      <c r="A506" t="s">
        <v>103</v>
      </c>
      <c r="B506" s="43" t="s">
        <v>104</v>
      </c>
      <c r="C506" s="62">
        <f>VLOOKUP(B506,合并仓明细!$D$2:$F$74,3,0)</f>
        <v>132</v>
      </c>
      <c r="D506" t="s">
        <v>413</v>
      </c>
      <c r="E506" s="43" t="s">
        <v>254</v>
      </c>
      <c r="F506" t="s">
        <v>66</v>
      </c>
      <c r="G506">
        <v>644.04833172999997</v>
      </c>
      <c r="H506"/>
      <c r="N506" s="38">
        <f t="shared" si="7"/>
        <v>0</v>
      </c>
    </row>
    <row r="507" spans="1:14" x14ac:dyDescent="0.25">
      <c r="A507" s="103" t="s">
        <v>103</v>
      </c>
      <c r="B507" s="106" t="s">
        <v>527</v>
      </c>
      <c r="C507" s="62">
        <f>VLOOKUP(B507,合并仓明细!$D$2:$F$74,3,0)</f>
        <v>32</v>
      </c>
      <c r="D507" s="103" t="s">
        <v>526</v>
      </c>
      <c r="E507" s="106" t="s">
        <v>254</v>
      </c>
      <c r="F507" s="103" t="s">
        <v>67</v>
      </c>
      <c r="G507" s="103">
        <v>39000</v>
      </c>
      <c r="H507">
        <v>39</v>
      </c>
      <c r="I507" s="38">
        <f>IF(H507&gt;30,QUOTIENT(H507,30)*VLOOKUP(D507,'报价表-配送'!$B$47:$I$51,8,0),0)+IF(AND(MOD(H507,30)&gt;18,MOD(H507,30)&lt;=30),1,0)*VLOOKUP(D507,'报价表-配送'!$B$47:$I$51,8,0)</f>
        <v>0</v>
      </c>
      <c r="J507" s="38">
        <f>IF(AND(MOD(H507,30)&gt;8,MOD(H507,30)&lt;=18),1*VLOOKUP(D507,'报价表-配送'!$B$47:$I$51,7,0),0)</f>
        <v>0</v>
      </c>
      <c r="K507" s="38">
        <f>IF(AND(MOD(H507,30)&lt;=8,MOD(H507,30)&gt;0),1,0)*VLOOKUP(D507,'报价表-配送'!$B$47:$I$51,6,0)</f>
        <v>0</v>
      </c>
      <c r="N507" s="38">
        <f t="shared" si="7"/>
        <v>0</v>
      </c>
    </row>
    <row r="508" spans="1:14" x14ac:dyDescent="0.25">
      <c r="A508" s="103" t="s">
        <v>103</v>
      </c>
      <c r="B508" s="106" t="s">
        <v>527</v>
      </c>
      <c r="C508" s="62">
        <f>VLOOKUP(B508,合并仓明细!$D$2:$F$74,3,0)</f>
        <v>32</v>
      </c>
      <c r="D508" s="103" t="s">
        <v>526</v>
      </c>
      <c r="E508" s="106" t="s">
        <v>254</v>
      </c>
      <c r="F508" s="103" t="s">
        <v>67</v>
      </c>
      <c r="G508" s="103">
        <v>8000</v>
      </c>
      <c r="H508">
        <v>8</v>
      </c>
      <c r="I508" s="38">
        <f>IF(H508&gt;30,QUOTIENT(H508,30)*VLOOKUP(D508,'报价表-配送'!$B$47:$I$51,8,0),0)+IF(AND(MOD(H508,30)&gt;18,MOD(H508,30)&lt;=30),1,0)*VLOOKUP(D508,'报价表-配送'!$B$47:$I$51,8,0)</f>
        <v>0</v>
      </c>
      <c r="J508" s="38">
        <f>IF(AND(MOD(H508,30)&gt;8,MOD(H508,30)&lt;=18),1*VLOOKUP(D508,'报价表-配送'!$B$47:$I$51,7,0),0)</f>
        <v>0</v>
      </c>
      <c r="K508" s="38">
        <f>IF(AND(MOD(H508,30)&lt;=8,MOD(H508,30)&gt;0),1,0)*VLOOKUP(D508,'报价表-配送'!$B$47:$I$51,6,0)</f>
        <v>0</v>
      </c>
      <c r="N508" s="38">
        <f t="shared" si="7"/>
        <v>0</v>
      </c>
    </row>
    <row r="509" spans="1:14" x14ac:dyDescent="0.25">
      <c r="A509" s="103" t="s">
        <v>103</v>
      </c>
      <c r="B509" s="106" t="s">
        <v>527</v>
      </c>
      <c r="C509" s="62">
        <f>VLOOKUP(B509,合并仓明细!$D$2:$F$74,3,0)</f>
        <v>32</v>
      </c>
      <c r="D509" s="103" t="s">
        <v>526</v>
      </c>
      <c r="E509" s="106" t="s">
        <v>254</v>
      </c>
      <c r="F509" s="103" t="s">
        <v>66</v>
      </c>
      <c r="G509" s="103">
        <v>2500</v>
      </c>
      <c r="H509">
        <v>2.5</v>
      </c>
      <c r="L509" s="37">
        <f>IF(H509&gt;30,QUOTIENT(H509,30)*VLOOKUP(D509,'报价表-配送'!$B$47:$I$51,8,0),0)+IF(AND(MOD(H509,30)&gt;18,MOD(H509,30)&lt;=30),1,0)*VLOOKUP(D509,'报价表-配送'!$B$47:$I$51,8,0)+IF(AND(MOD(H509,30)&gt;8,MOD(H509,30)&lt;=18),1*VLOOKUP(D509,'报价表-配送'!$B$47:$I$51,7,0),0)+IF(AND(MOD(H509,30)&lt;=8,MOD(H509,30)&gt;2.5),1,0)*VLOOKUP(D509,'报价表-配送'!$B$47:$I$51,6,0)+IF(AND(MOD(H509,30)&lt;=2.5,MOD(H509,30)&gt;=1.5),1,0)*VLOOKUP(D509,'报价表-配送'!$B$47:$I$51,5,0)</f>
        <v>0</v>
      </c>
      <c r="M509" s="39">
        <f>IF(AND(MOD(H509,30)&lt;1.5,MOD(H509,30)&gt;=0.5),H509,0)*VLOOKUP(D509,'报价表-配送'!$B$47:$I$51,4,0)*1000+IF(AND(MOD(H509,30)&lt;0.5,MOD(H509,30)&gt;=0.02),H509,0)*VLOOKUP(D509,'报价表-配送'!$B$47:$I$51,3,0)*1000+IF(AND(MOD(H509,30)&lt;0.02),H509,0)*VLOOKUP(D509,'报价表-配送'!$B$47:$I$51,2,0)*1000</f>
        <v>0</v>
      </c>
      <c r="N509" s="38">
        <f t="shared" si="7"/>
        <v>0</v>
      </c>
    </row>
    <row r="510" spans="1:14" x14ac:dyDescent="0.25">
      <c r="A510" s="103" t="s">
        <v>103</v>
      </c>
      <c r="B510" s="106" t="s">
        <v>527</v>
      </c>
      <c r="C510" s="62">
        <f>VLOOKUP(B510,合并仓明细!$D$2:$F$74,3,0)</f>
        <v>32</v>
      </c>
      <c r="D510" s="103" t="s">
        <v>526</v>
      </c>
      <c r="E510" s="106" t="s">
        <v>254</v>
      </c>
      <c r="F510" s="103" t="s">
        <v>66</v>
      </c>
      <c r="G510" s="103">
        <v>1000</v>
      </c>
      <c r="H510">
        <v>1</v>
      </c>
      <c r="L510" s="37">
        <f>IF(H510&gt;30,QUOTIENT(H510,30)*VLOOKUP(D510,'报价表-配送'!$B$47:$I$51,8,0),0)+IF(AND(MOD(H510,30)&gt;18,MOD(H510,30)&lt;=30),1,0)*VLOOKUP(D510,'报价表-配送'!$B$47:$I$51,8,0)+IF(AND(MOD(H510,30)&gt;8,MOD(H510,30)&lt;=18),1*VLOOKUP(D510,'报价表-配送'!$B$47:$I$51,7,0),0)+IF(AND(MOD(H510,30)&lt;=8,MOD(H510,30)&gt;2.5),1,0)*VLOOKUP(D510,'报价表-配送'!$B$47:$I$51,6,0)+IF(AND(MOD(H510,30)&lt;=2.5,MOD(H510,30)&gt;=1.5),1,0)*VLOOKUP(D510,'报价表-配送'!$B$47:$I$51,5,0)</f>
        <v>0</v>
      </c>
      <c r="M510" s="39">
        <f>IF(AND(MOD(H510,30)&lt;1.5,MOD(H510,30)&gt;=0.5),H510,0)*VLOOKUP(D510,'报价表-配送'!$B$47:$I$51,4,0)*1000+IF(AND(MOD(H510,30)&lt;0.5,MOD(H510,30)&gt;=0.02),H510,0)*VLOOKUP(D510,'报价表-配送'!$B$47:$I$51,3,0)*1000+IF(AND(MOD(H510,30)&lt;0.02),H510,0)*VLOOKUP(D510,'报价表-配送'!$B$47:$I$51,2,0)*1000</f>
        <v>0</v>
      </c>
      <c r="N510" s="38">
        <f t="shared" si="7"/>
        <v>0</v>
      </c>
    </row>
    <row r="511" spans="1:14" x14ac:dyDescent="0.25">
      <c r="A511" s="103" t="s">
        <v>103</v>
      </c>
      <c r="B511" s="106" t="s">
        <v>527</v>
      </c>
      <c r="C511" s="62">
        <f>VLOOKUP(B511,合并仓明细!$D$2:$F$74,3,0)</f>
        <v>32</v>
      </c>
      <c r="D511" s="103" t="s">
        <v>526</v>
      </c>
      <c r="E511" s="106" t="s">
        <v>254</v>
      </c>
      <c r="F511" s="103" t="s">
        <v>66</v>
      </c>
      <c r="G511" s="103">
        <v>400</v>
      </c>
      <c r="H511">
        <v>0.4</v>
      </c>
      <c r="L511" s="37">
        <f>IF(H511&gt;30,QUOTIENT(H511,30)*VLOOKUP(D511,'报价表-配送'!$B$47:$I$51,8,0),0)+IF(AND(MOD(H511,30)&gt;18,MOD(H511,30)&lt;=30),1,0)*VLOOKUP(D511,'报价表-配送'!$B$47:$I$51,8,0)+IF(AND(MOD(H511,30)&gt;8,MOD(H511,30)&lt;=18),1*VLOOKUP(D511,'报价表-配送'!$B$47:$I$51,7,0),0)+IF(AND(MOD(H511,30)&lt;=8,MOD(H511,30)&gt;2.5),1,0)*VLOOKUP(D511,'报价表-配送'!$B$47:$I$51,6,0)+IF(AND(MOD(H511,30)&lt;=2.5,MOD(H511,30)&gt;=1.5),1,0)*VLOOKUP(D511,'报价表-配送'!$B$47:$I$51,5,0)</f>
        <v>0</v>
      </c>
      <c r="M511" s="39">
        <f>IF(AND(MOD(H511,30)&lt;1.5,MOD(H511,30)&gt;=0.5),H511,0)*VLOOKUP(D511,'报价表-配送'!$B$47:$I$51,4,0)*1000+IF(AND(MOD(H511,30)&lt;0.5,MOD(H511,30)&gt;=0.02),H511,0)*VLOOKUP(D511,'报价表-配送'!$B$47:$I$51,3,0)*1000+IF(AND(MOD(H511,30)&lt;0.02),H511,0)*VLOOKUP(D511,'报价表-配送'!$B$47:$I$51,2,0)*1000</f>
        <v>0</v>
      </c>
      <c r="N511" s="38">
        <f t="shared" si="7"/>
        <v>0</v>
      </c>
    </row>
    <row r="512" spans="1:14" x14ac:dyDescent="0.25">
      <c r="A512" s="103" t="s">
        <v>103</v>
      </c>
      <c r="B512" s="106" t="s">
        <v>527</v>
      </c>
      <c r="C512" s="62">
        <f>VLOOKUP(B512,合并仓明细!$D$2:$F$74,3,0)</f>
        <v>32</v>
      </c>
      <c r="D512" s="103" t="s">
        <v>526</v>
      </c>
      <c r="E512" s="106" t="s">
        <v>254</v>
      </c>
      <c r="F512" s="103" t="s">
        <v>66</v>
      </c>
      <c r="G512" s="103">
        <v>2</v>
      </c>
      <c r="H512">
        <v>2E-3</v>
      </c>
      <c r="L512" s="37">
        <f>IF(H512&gt;30,QUOTIENT(H512,30)*VLOOKUP(D512,'报价表-配送'!$B$47:$I$51,8,0),0)+IF(AND(MOD(H512,30)&gt;18,MOD(H512,30)&lt;=30),1,0)*VLOOKUP(D512,'报价表-配送'!$B$47:$I$51,8,0)+IF(AND(MOD(H512,30)&gt;8,MOD(H512,30)&lt;=18),1*VLOOKUP(D512,'报价表-配送'!$B$47:$I$51,7,0),0)+IF(AND(MOD(H512,30)&lt;=8,MOD(H512,30)&gt;2.5),1,0)*VLOOKUP(D512,'报价表-配送'!$B$47:$I$51,6,0)+IF(AND(MOD(H512,30)&lt;=2.5,MOD(H512,30)&gt;=1.5),1,0)*VLOOKUP(D512,'报价表-配送'!$B$47:$I$51,5,0)</f>
        <v>0</v>
      </c>
      <c r="M512" s="39">
        <f>IF(AND(MOD(H512,30)&lt;1.5,MOD(H512,30)&gt;=0.5),H512,0)*VLOOKUP(D512,'报价表-配送'!$B$47:$I$51,4,0)*1000+IF(AND(MOD(H512,30)&lt;0.5,MOD(H512,30)&gt;=0.02),H512,0)*VLOOKUP(D512,'报价表-配送'!$B$47:$I$51,3,0)*1000+IF(AND(MOD(H512,30)&lt;0.02),H512,0)*VLOOKUP(D512,'报价表-配送'!$B$47:$I$51,2,0)*1000</f>
        <v>0</v>
      </c>
      <c r="N512" s="38">
        <f t="shared" si="7"/>
        <v>0</v>
      </c>
    </row>
    <row r="513" spans="1:14" x14ac:dyDescent="0.25">
      <c r="A513" t="s">
        <v>103</v>
      </c>
      <c r="B513" s="43" t="s">
        <v>180</v>
      </c>
      <c r="C513" s="62">
        <f>VLOOKUP(B513,合并仓明细!$D$2:$F$74,3,0)</f>
        <v>170</v>
      </c>
      <c r="D513" t="s">
        <v>413</v>
      </c>
      <c r="E513" s="43" t="s">
        <v>306</v>
      </c>
      <c r="F513" t="s">
        <v>66</v>
      </c>
      <c r="G513">
        <v>1226.8799999999999</v>
      </c>
      <c r="H513">
        <v>1.22688</v>
      </c>
      <c r="I513" s="46"/>
      <c r="J513" s="37"/>
      <c r="K513" s="37"/>
      <c r="L513" s="37">
        <f>IF(H513&gt;30,QUOTIENT(H513,30)*VLOOKUP(D513,'报价表-配送'!$B$47:$I$51,8,0),0)+IF(AND(MOD(H513,30)&gt;18,MOD(H513,30)&lt;=30),1,0)*VLOOKUP(D513,'报价表-配送'!$B$47:$I$51,8,0)+IF(AND(MOD(H513,30)&gt;8,MOD(H513,30)&lt;=18),1*VLOOKUP(D513,'报价表-配送'!$B$47:$I$51,7,0),0)+IF(AND(MOD(H513,30)&lt;=8,MOD(H513,30)&gt;2.5),1,0)*VLOOKUP(D513,'报价表-配送'!$B$47:$I$51,6,0)+IF(AND(MOD(H513,30)&lt;=2.5,MOD(H513,30)&gt;=1.5),1,0)*VLOOKUP(D513,'报价表-配送'!$B$47:$I$51,5,0)</f>
        <v>0</v>
      </c>
      <c r="M513" s="39">
        <f>IF(AND(MOD(H513,30)&lt;1.5,MOD(H513,30)&gt;=0.5),H513,0)*VLOOKUP(D513,'报价表-配送'!$B$47:$I$51,4,0)*1000+IF(AND(MOD(H513,30)&lt;0.5,MOD(H513,30)&gt;=0.02),H513,0)*VLOOKUP(D513,'报价表-配送'!$B$47:$I$51,3,0)*1000+IF(AND(MOD(H513,30)&lt;0.02),H513,0)*VLOOKUP(D513,'报价表-配送'!$B$47:$I$51,2,0)*1000</f>
        <v>0</v>
      </c>
      <c r="N513" s="38">
        <f t="shared" si="7"/>
        <v>0</v>
      </c>
    </row>
    <row r="514" spans="1:14" x14ac:dyDescent="0.25">
      <c r="A514" t="s">
        <v>103</v>
      </c>
      <c r="B514" s="43" t="s">
        <v>180</v>
      </c>
      <c r="C514" s="62">
        <f>VLOOKUP(B514,合并仓明细!$D$2:$F$74,3,0)</f>
        <v>170</v>
      </c>
      <c r="D514" t="s">
        <v>413</v>
      </c>
      <c r="E514" s="43" t="s">
        <v>344</v>
      </c>
      <c r="F514" t="s">
        <v>66</v>
      </c>
      <c r="G514">
        <v>187.66999999999996</v>
      </c>
      <c r="H514">
        <v>0.18766999999999995</v>
      </c>
      <c r="L514" s="37">
        <f>IF(H514&gt;30,QUOTIENT(H514,30)*VLOOKUP(D514,'报价表-配送'!$B$47:$I$51,8,0),0)+IF(AND(MOD(H514,30)&gt;18,MOD(H514,30)&lt;=30),1,0)*VLOOKUP(D514,'报价表-配送'!$B$47:$I$51,8,0)+IF(AND(MOD(H514,30)&gt;8,MOD(H514,30)&lt;=18),1*VLOOKUP(D514,'报价表-配送'!$B$47:$I$51,7,0),0)+IF(AND(MOD(H514,30)&lt;=8,MOD(H514,30)&gt;2.5),1,0)*VLOOKUP(D514,'报价表-配送'!$B$47:$I$51,6,0)+IF(AND(MOD(H514,30)&lt;=2.5,MOD(H514,30)&gt;=1.5),1,0)*VLOOKUP(D514,'报价表-配送'!$B$47:$I$51,5,0)</f>
        <v>0</v>
      </c>
      <c r="M514" s="39">
        <f>IF(AND(MOD(H514,30)&lt;1.5,MOD(H514,30)&gt;=0.5),H514,0)*VLOOKUP(D514,'报价表-配送'!$B$47:$I$51,4,0)*1000+IF(AND(MOD(H514,30)&lt;0.5,MOD(H514,30)&gt;=0.02),H514,0)*VLOOKUP(D514,'报价表-配送'!$B$47:$I$51,3,0)*1000+IF(AND(MOD(H514,30)&lt;0.02),H514,0)*VLOOKUP(D514,'报价表-配送'!$B$47:$I$51,2,0)*1000</f>
        <v>0</v>
      </c>
      <c r="N514" s="38">
        <f t="shared" si="7"/>
        <v>0</v>
      </c>
    </row>
    <row r="515" spans="1:14" x14ac:dyDescent="0.25">
      <c r="A515" t="s">
        <v>103</v>
      </c>
      <c r="B515" s="43" t="s">
        <v>180</v>
      </c>
      <c r="C515" s="62">
        <f>VLOOKUP(B515,合并仓明细!$D$2:$F$74,3,0)</f>
        <v>170</v>
      </c>
      <c r="D515" t="s">
        <v>413</v>
      </c>
      <c r="E515" s="43" t="s">
        <v>265</v>
      </c>
      <c r="F515" t="s">
        <v>66</v>
      </c>
      <c r="G515">
        <v>214.07000000000002</v>
      </c>
      <c r="H515">
        <v>0.21407000000000001</v>
      </c>
      <c r="L515" s="37">
        <f>IF(H515&gt;30,QUOTIENT(H515,30)*VLOOKUP(D515,'报价表-配送'!$B$47:$I$51,8,0),0)+IF(AND(MOD(H515,30)&gt;18,MOD(H515,30)&lt;=30),1,0)*VLOOKUP(D515,'报价表-配送'!$B$47:$I$51,8,0)+IF(AND(MOD(H515,30)&gt;8,MOD(H515,30)&lt;=18),1*VLOOKUP(D515,'报价表-配送'!$B$47:$I$51,7,0),0)+IF(AND(MOD(H515,30)&lt;=8,MOD(H515,30)&gt;2.5),1,0)*VLOOKUP(D515,'报价表-配送'!$B$47:$I$51,6,0)+IF(AND(MOD(H515,30)&lt;=2.5,MOD(H515,30)&gt;=1.5),1,0)*VLOOKUP(D515,'报价表-配送'!$B$47:$I$51,5,0)</f>
        <v>0</v>
      </c>
      <c r="M515" s="39">
        <f>IF(AND(MOD(H515,30)&lt;1.5,MOD(H515,30)&gt;=0.5),H515,0)*VLOOKUP(D515,'报价表-配送'!$B$47:$I$51,4,0)*1000+IF(AND(MOD(H515,30)&lt;0.5,MOD(H515,30)&gt;=0.02),H515,0)*VLOOKUP(D515,'报价表-配送'!$B$47:$I$51,3,0)*1000+IF(AND(MOD(H515,30)&lt;0.02),H515,0)*VLOOKUP(D515,'报价表-配送'!$B$47:$I$51,2,0)*1000</f>
        <v>0</v>
      </c>
      <c r="N515" s="38">
        <f t="shared" si="7"/>
        <v>0</v>
      </c>
    </row>
    <row r="516" spans="1:14" x14ac:dyDescent="0.25">
      <c r="A516" t="s">
        <v>103</v>
      </c>
      <c r="B516" s="43" t="s">
        <v>180</v>
      </c>
      <c r="C516" s="62">
        <f>VLOOKUP(B516,合并仓明细!$D$2:$F$74,3,0)</f>
        <v>170</v>
      </c>
      <c r="D516" t="s">
        <v>413</v>
      </c>
      <c r="E516" s="43" t="s">
        <v>333</v>
      </c>
      <c r="F516" t="s">
        <v>66</v>
      </c>
      <c r="G516">
        <v>138.25</v>
      </c>
      <c r="H516">
        <v>0.13825000000000001</v>
      </c>
      <c r="I516" s="38"/>
      <c r="J516" s="38"/>
      <c r="K516" s="38"/>
      <c r="L516" s="37">
        <f>IF(H516&gt;30,QUOTIENT(H516,30)*VLOOKUP(D516,'报价表-配送'!$B$47:$I$51,8,0),0)+IF(AND(MOD(H516,30)&gt;18,MOD(H516,30)&lt;=30),1,0)*VLOOKUP(D516,'报价表-配送'!$B$47:$I$51,8,0)+IF(AND(MOD(H516,30)&gt;8,MOD(H516,30)&lt;=18),1*VLOOKUP(D516,'报价表-配送'!$B$47:$I$51,7,0),0)+IF(AND(MOD(H516,30)&lt;=8,MOD(H516,30)&gt;2.5),1,0)*VLOOKUP(D516,'报价表-配送'!$B$47:$I$51,6,0)+IF(AND(MOD(H516,30)&lt;=2.5,MOD(H516,30)&gt;=1.5),1,0)*VLOOKUP(D516,'报价表-配送'!$B$47:$I$51,5,0)</f>
        <v>0</v>
      </c>
      <c r="M516" s="39">
        <f>IF(AND(MOD(H516,30)&lt;1.5,MOD(H516,30)&gt;=0.5),H516,0)*VLOOKUP(D516,'报价表-配送'!$B$47:$I$51,4,0)*1000+IF(AND(MOD(H516,30)&lt;0.5,MOD(H516,30)&gt;=0.02),H516,0)*VLOOKUP(D516,'报价表-配送'!$B$47:$I$51,3,0)*1000+IF(AND(MOD(H516,30)&lt;0.02),H516,0)*VLOOKUP(D516,'报价表-配送'!$B$47:$I$51,2,0)*1000</f>
        <v>0</v>
      </c>
      <c r="N516" s="38">
        <f t="shared" si="7"/>
        <v>0</v>
      </c>
    </row>
    <row r="517" spans="1:14" x14ac:dyDescent="0.25">
      <c r="A517" t="s">
        <v>103</v>
      </c>
      <c r="B517" s="43" t="s">
        <v>180</v>
      </c>
      <c r="C517" s="62">
        <f>VLOOKUP(B517,合并仓明细!$D$2:$F$74,3,0)</f>
        <v>170</v>
      </c>
      <c r="D517" t="s">
        <v>413</v>
      </c>
      <c r="E517" s="43" t="s">
        <v>257</v>
      </c>
      <c r="F517" t="s">
        <v>66</v>
      </c>
      <c r="G517">
        <v>859.97</v>
      </c>
      <c r="H517">
        <v>0.85997000000000001</v>
      </c>
      <c r="L517" s="37">
        <f>IF(H517&gt;30,QUOTIENT(H517,30)*VLOOKUP(D517,'报价表-配送'!$B$47:$I$51,8,0),0)+IF(AND(MOD(H517,30)&gt;18,MOD(H517,30)&lt;=30),1,0)*VLOOKUP(D517,'报价表-配送'!$B$47:$I$51,8,0)+IF(AND(MOD(H517,30)&gt;8,MOD(H517,30)&lt;=18),1*VLOOKUP(D517,'报价表-配送'!$B$47:$I$51,7,0),0)+IF(AND(MOD(H517,30)&lt;=8,MOD(H517,30)&gt;2.5),1,0)*VLOOKUP(D517,'报价表-配送'!$B$47:$I$51,6,0)+IF(AND(MOD(H517,30)&lt;=2.5,MOD(H517,30)&gt;=1.5),1,0)*VLOOKUP(D517,'报价表-配送'!$B$47:$I$51,5,0)</f>
        <v>0</v>
      </c>
      <c r="M517" s="39">
        <f>IF(AND(MOD(H517,30)&lt;1.5,MOD(H517,30)&gt;=0.5),H517,0)*VLOOKUP(D517,'报价表-配送'!$B$47:$I$51,4,0)*1000+IF(AND(MOD(H517,30)&lt;0.5,MOD(H517,30)&gt;=0.02),H517,0)*VLOOKUP(D517,'报价表-配送'!$B$47:$I$51,3,0)*1000+IF(AND(MOD(H517,30)&lt;0.02),H517,0)*VLOOKUP(D517,'报价表-配送'!$B$47:$I$51,2,0)*1000</f>
        <v>0</v>
      </c>
      <c r="N517" s="38">
        <f t="shared" si="7"/>
        <v>0</v>
      </c>
    </row>
    <row r="518" spans="1:14" x14ac:dyDescent="0.25">
      <c r="A518" t="s">
        <v>103</v>
      </c>
      <c r="B518" s="43" t="s">
        <v>180</v>
      </c>
      <c r="C518" s="62">
        <f>VLOOKUP(B518,合并仓明细!$D$2:$F$74,3,0)</f>
        <v>170</v>
      </c>
      <c r="D518" t="s">
        <v>413</v>
      </c>
      <c r="E518" s="43" t="s">
        <v>369</v>
      </c>
      <c r="F518" t="s">
        <v>68</v>
      </c>
      <c r="G518">
        <v>5410.3799999999992</v>
      </c>
      <c r="H518">
        <v>7.7500799999999996</v>
      </c>
      <c r="I518" s="46">
        <f>ROUNDUP(H518/30,0)*VLOOKUP(D518,'报价表-配送'!$B$47:$I$51,8,0)</f>
        <v>0</v>
      </c>
      <c r="J518" s="37"/>
      <c r="K518" s="37"/>
      <c r="L518" s="37"/>
      <c r="M518" s="37"/>
      <c r="N518" s="38">
        <f t="shared" si="7"/>
        <v>0</v>
      </c>
    </row>
    <row r="519" spans="1:14" x14ac:dyDescent="0.25">
      <c r="A519" t="s">
        <v>103</v>
      </c>
      <c r="B519" s="43" t="s">
        <v>180</v>
      </c>
      <c r="C519" s="62">
        <f>VLOOKUP(B519,合并仓明细!$D$2:$F$74,3,0)</f>
        <v>170</v>
      </c>
      <c r="D519" t="s">
        <v>413</v>
      </c>
      <c r="E519" s="43" t="s">
        <v>369</v>
      </c>
      <c r="F519" t="s">
        <v>66</v>
      </c>
      <c r="G519">
        <v>2339.7000000000003</v>
      </c>
      <c r="H519"/>
      <c r="N519" s="38">
        <f t="shared" si="7"/>
        <v>0</v>
      </c>
    </row>
    <row r="520" spans="1:14" x14ac:dyDescent="0.25">
      <c r="A520" t="s">
        <v>103</v>
      </c>
      <c r="B520" s="43" t="s">
        <v>180</v>
      </c>
      <c r="C520" s="62">
        <f>VLOOKUP(B520,合并仓明细!$D$2:$F$74,3,0)</f>
        <v>170</v>
      </c>
      <c r="D520" t="s">
        <v>413</v>
      </c>
      <c r="E520" s="43" t="s">
        <v>266</v>
      </c>
      <c r="F520" t="s">
        <v>68</v>
      </c>
      <c r="G520">
        <v>229.27999999999997</v>
      </c>
      <c r="H520">
        <v>8.5056700000000003</v>
      </c>
      <c r="I520" s="46">
        <f>ROUNDUP(H520/30,0)*VLOOKUP(D520,'报价表-配送'!$B$47:$I$51,8,0)</f>
        <v>0</v>
      </c>
      <c r="N520" s="38">
        <f t="shared" si="7"/>
        <v>0</v>
      </c>
    </row>
    <row r="521" spans="1:14" x14ac:dyDescent="0.25">
      <c r="A521" t="s">
        <v>103</v>
      </c>
      <c r="B521" s="43" t="s">
        <v>180</v>
      </c>
      <c r="C521" s="62">
        <f>VLOOKUP(B521,合并仓明细!$D$2:$F$74,3,0)</f>
        <v>170</v>
      </c>
      <c r="D521" t="s">
        <v>413</v>
      </c>
      <c r="E521" s="43" t="s">
        <v>266</v>
      </c>
      <c r="F521" t="s">
        <v>67</v>
      </c>
      <c r="G521">
        <v>8121.84</v>
      </c>
      <c r="H521"/>
      <c r="I521" s="38"/>
      <c r="J521" s="38"/>
      <c r="K521" s="38"/>
      <c r="L521" s="37"/>
      <c r="M521" s="37"/>
      <c r="N521" s="38">
        <f t="shared" si="7"/>
        <v>0</v>
      </c>
    </row>
    <row r="522" spans="1:14" x14ac:dyDescent="0.25">
      <c r="A522" t="s">
        <v>103</v>
      </c>
      <c r="B522" s="43" t="s">
        <v>180</v>
      </c>
      <c r="C522" s="62">
        <f>VLOOKUP(B522,合并仓明细!$D$2:$F$74,3,0)</f>
        <v>170</v>
      </c>
      <c r="D522" t="s">
        <v>413</v>
      </c>
      <c r="E522" s="43" t="s">
        <v>266</v>
      </c>
      <c r="F522" t="s">
        <v>66</v>
      </c>
      <c r="G522">
        <v>154.55000000000001</v>
      </c>
      <c r="H522"/>
      <c r="N522" s="38">
        <f t="shared" si="7"/>
        <v>0</v>
      </c>
    </row>
    <row r="523" spans="1:14" x14ac:dyDescent="0.25">
      <c r="A523" t="s">
        <v>103</v>
      </c>
      <c r="B523" s="43" t="s">
        <v>180</v>
      </c>
      <c r="C523" s="62">
        <f>VLOOKUP(B523,合并仓明细!$D$2:$F$74,3,0)</f>
        <v>170</v>
      </c>
      <c r="D523" t="s">
        <v>413</v>
      </c>
      <c r="E523" s="43" t="s">
        <v>267</v>
      </c>
      <c r="F523" t="s">
        <v>66</v>
      </c>
      <c r="G523">
        <v>893.83</v>
      </c>
      <c r="H523">
        <v>0.89383000000000001</v>
      </c>
      <c r="L523" s="37">
        <f>IF(H523&gt;30,QUOTIENT(H523,30)*VLOOKUP(D523,'报价表-配送'!$B$47:$I$51,8,0),0)+IF(AND(MOD(H523,30)&gt;18,MOD(H523,30)&lt;=30),1,0)*VLOOKUP(D523,'报价表-配送'!$B$47:$I$51,8,0)+IF(AND(MOD(H523,30)&gt;8,MOD(H523,30)&lt;=18),1*VLOOKUP(D523,'报价表-配送'!$B$47:$I$51,7,0),0)+IF(AND(MOD(H523,30)&lt;=8,MOD(H523,30)&gt;2.5),1,0)*VLOOKUP(D523,'报价表-配送'!$B$47:$I$51,6,0)+IF(AND(MOD(H523,30)&lt;=2.5,MOD(H523,30)&gt;=1.5),1,0)*VLOOKUP(D523,'报价表-配送'!$B$47:$I$51,5,0)</f>
        <v>0</v>
      </c>
      <c r="M523" s="39">
        <f>IF(AND(MOD(H523,30)&lt;1.5,MOD(H523,30)&gt;=0.5),H523,0)*VLOOKUP(D523,'报价表-配送'!$B$47:$I$51,4,0)*1000+IF(AND(MOD(H523,30)&lt;0.5,MOD(H523,30)&gt;=0.02),H523,0)*VLOOKUP(D523,'报价表-配送'!$B$47:$I$51,3,0)*1000+IF(AND(MOD(H523,30)&lt;0.02),H523,0)*VLOOKUP(D523,'报价表-配送'!$B$47:$I$51,2,0)*1000</f>
        <v>0</v>
      </c>
      <c r="N523" s="38">
        <f t="shared" si="7"/>
        <v>0</v>
      </c>
    </row>
    <row r="524" spans="1:14" x14ac:dyDescent="0.25">
      <c r="A524" t="s">
        <v>103</v>
      </c>
      <c r="B524" s="43" t="s">
        <v>180</v>
      </c>
      <c r="C524" s="62">
        <f>VLOOKUP(B524,合并仓明细!$D$2:$F$74,3,0)</f>
        <v>170</v>
      </c>
      <c r="D524" t="s">
        <v>413</v>
      </c>
      <c r="E524" s="43" t="s">
        <v>258</v>
      </c>
      <c r="F524" t="s">
        <v>67</v>
      </c>
      <c r="G524">
        <v>712.67</v>
      </c>
      <c r="H524">
        <v>0.92961999999999989</v>
      </c>
      <c r="I524" s="38">
        <f>IF(H524&gt;30,QUOTIENT(H524,30)*VLOOKUP(D524,'报价表-配送'!$B$47:$I$51,8,0),0)+IF(AND(MOD(H524,30)&gt;18,MOD(H524,30)&lt;=30),1,0)*VLOOKUP(D524,'报价表-配送'!$B$47:$I$51,8,0)</f>
        <v>0</v>
      </c>
      <c r="J524" s="38">
        <f>IF(AND(MOD(H524,30)&gt;8,MOD(H524,30)&lt;=18),1*VLOOKUP(D524,'报价表-配送'!$B$47:$I$51,7,0),0)</f>
        <v>0</v>
      </c>
      <c r="K524" s="38">
        <f>IF(AND(MOD(H524,30)&lt;=8,MOD(H524,30)&gt;0),1,0)*VLOOKUP(D524,'报价表-配送'!$B$47:$I$51,6,0)</f>
        <v>0</v>
      </c>
      <c r="L524" s="37"/>
      <c r="M524" s="37"/>
      <c r="N524" s="38">
        <f t="shared" si="7"/>
        <v>0</v>
      </c>
    </row>
    <row r="525" spans="1:14" x14ac:dyDescent="0.25">
      <c r="A525" t="s">
        <v>103</v>
      </c>
      <c r="B525" s="43" t="s">
        <v>180</v>
      </c>
      <c r="C525" s="62">
        <f>VLOOKUP(B525,合并仓明细!$D$2:$F$74,3,0)</f>
        <v>170</v>
      </c>
      <c r="D525" t="s">
        <v>413</v>
      </c>
      <c r="E525" s="43" t="s">
        <v>258</v>
      </c>
      <c r="F525" t="s">
        <v>66</v>
      </c>
      <c r="G525">
        <v>216.95</v>
      </c>
      <c r="H525"/>
      <c r="N525" s="38">
        <f t="shared" si="7"/>
        <v>0</v>
      </c>
    </row>
    <row r="526" spans="1:14" x14ac:dyDescent="0.25">
      <c r="A526" t="s">
        <v>103</v>
      </c>
      <c r="B526" s="43" t="s">
        <v>180</v>
      </c>
      <c r="C526" s="62">
        <f>VLOOKUP(B526,合并仓明细!$D$2:$F$74,3,0)</f>
        <v>170</v>
      </c>
      <c r="D526" t="s">
        <v>413</v>
      </c>
      <c r="E526" s="43" t="s">
        <v>268</v>
      </c>
      <c r="F526" t="s">
        <v>68</v>
      </c>
      <c r="G526">
        <v>626.9</v>
      </c>
      <c r="H526">
        <v>2.7043699999999999</v>
      </c>
      <c r="I526" s="46">
        <f>ROUNDUP(H526/30,0)*VLOOKUP(D526,'报价表-配送'!$B$47:$I$51,8,0)</f>
        <v>0</v>
      </c>
      <c r="J526" s="37"/>
      <c r="K526" s="37"/>
      <c r="L526" s="37"/>
      <c r="M526" s="37"/>
      <c r="N526" s="38">
        <f t="shared" si="7"/>
        <v>0</v>
      </c>
    </row>
    <row r="527" spans="1:14" x14ac:dyDescent="0.25">
      <c r="A527" t="s">
        <v>103</v>
      </c>
      <c r="B527" s="43" t="s">
        <v>180</v>
      </c>
      <c r="C527" s="62">
        <f>VLOOKUP(B527,合并仓明细!$D$2:$F$74,3,0)</f>
        <v>170</v>
      </c>
      <c r="D527" t="s">
        <v>413</v>
      </c>
      <c r="E527" s="43" t="s">
        <v>268</v>
      </c>
      <c r="F527" t="s">
        <v>66</v>
      </c>
      <c r="G527">
        <v>2077.4699999999998</v>
      </c>
      <c r="H527"/>
      <c r="N527" s="38">
        <f t="shared" si="7"/>
        <v>0</v>
      </c>
    </row>
    <row r="528" spans="1:14" x14ac:dyDescent="0.25">
      <c r="A528" t="s">
        <v>103</v>
      </c>
      <c r="B528" s="43" t="s">
        <v>180</v>
      </c>
      <c r="C528" s="62">
        <f>VLOOKUP(B528,合并仓明细!$D$2:$F$74,3,0)</f>
        <v>170</v>
      </c>
      <c r="D528" t="s">
        <v>413</v>
      </c>
      <c r="E528" s="43" t="s">
        <v>269</v>
      </c>
      <c r="F528" t="s">
        <v>68</v>
      </c>
      <c r="G528">
        <v>464.83</v>
      </c>
      <c r="H528">
        <v>0.46958</v>
      </c>
      <c r="I528" s="46">
        <f>ROUNDUP(H528/30,0)*VLOOKUP(D528,'报价表-配送'!$B$47:$I$51,8,0)</f>
        <v>0</v>
      </c>
      <c r="J528" s="38"/>
      <c r="K528" s="38"/>
      <c r="L528" s="37"/>
      <c r="M528" s="37"/>
      <c r="N528" s="38">
        <f t="shared" si="7"/>
        <v>0</v>
      </c>
    </row>
    <row r="529" spans="1:14" x14ac:dyDescent="0.25">
      <c r="A529" t="s">
        <v>103</v>
      </c>
      <c r="B529" s="43" t="s">
        <v>180</v>
      </c>
      <c r="C529" s="62">
        <f>VLOOKUP(B529,合并仓明细!$D$2:$F$74,3,0)</f>
        <v>170</v>
      </c>
      <c r="D529" t="s">
        <v>413</v>
      </c>
      <c r="E529" s="43" t="s">
        <v>269</v>
      </c>
      <c r="F529" t="s">
        <v>66</v>
      </c>
      <c r="G529">
        <v>4.75</v>
      </c>
      <c r="H529"/>
      <c r="N529" s="38">
        <f t="shared" si="7"/>
        <v>0</v>
      </c>
    </row>
    <row r="530" spans="1:14" x14ac:dyDescent="0.25">
      <c r="A530" t="s">
        <v>103</v>
      </c>
      <c r="B530" s="43" t="s">
        <v>180</v>
      </c>
      <c r="C530" s="62">
        <f>VLOOKUP(B530,合并仓明细!$D$2:$F$74,3,0)</f>
        <v>170</v>
      </c>
      <c r="D530" t="s">
        <v>413</v>
      </c>
      <c r="E530" s="43" t="s">
        <v>270</v>
      </c>
      <c r="F530" t="s">
        <v>66</v>
      </c>
      <c r="G530">
        <v>164.10999999999999</v>
      </c>
      <c r="H530">
        <v>0.16410999999999998</v>
      </c>
      <c r="I530" s="38"/>
      <c r="J530" s="38"/>
      <c r="K530" s="38"/>
      <c r="L530" s="37">
        <f>IF(H530&gt;30,QUOTIENT(H530,30)*VLOOKUP(D530,'报价表-配送'!$B$47:$I$51,8,0),0)+IF(AND(MOD(H530,30)&gt;18,MOD(H530,30)&lt;=30),1,0)*VLOOKUP(D530,'报价表-配送'!$B$47:$I$51,8,0)+IF(AND(MOD(H530,30)&gt;8,MOD(H530,30)&lt;=18),1*VLOOKUP(D530,'报价表-配送'!$B$47:$I$51,7,0),0)+IF(AND(MOD(H530,30)&lt;=8,MOD(H530,30)&gt;2.5),1,0)*VLOOKUP(D530,'报价表-配送'!$B$47:$I$51,6,0)+IF(AND(MOD(H530,30)&lt;=2.5,MOD(H530,30)&gt;=1.5),1,0)*VLOOKUP(D530,'报价表-配送'!$B$47:$I$51,5,0)</f>
        <v>0</v>
      </c>
      <c r="M530" s="39">
        <f>IF(AND(MOD(H530,30)&lt;1.5,MOD(H530,30)&gt;=0.5),H530,0)*VLOOKUP(D530,'报价表-配送'!$B$47:$I$51,4,0)*1000+IF(AND(MOD(H530,30)&lt;0.5,MOD(H530,30)&gt;=0.02),H530,0)*VLOOKUP(D530,'报价表-配送'!$B$47:$I$51,3,0)*1000+IF(AND(MOD(H530,30)&lt;0.02),H530,0)*VLOOKUP(D530,'报价表-配送'!$B$47:$I$51,2,0)*1000</f>
        <v>0</v>
      </c>
      <c r="N530" s="38">
        <f t="shared" ref="N530:N593" si="8">SUM(I530:M530)</f>
        <v>0</v>
      </c>
    </row>
    <row r="531" spans="1:14" x14ac:dyDescent="0.25">
      <c r="A531" t="s">
        <v>103</v>
      </c>
      <c r="B531" s="43" t="s">
        <v>180</v>
      </c>
      <c r="C531" s="62">
        <f>VLOOKUP(B531,合并仓明细!$D$2:$F$74,3,0)</f>
        <v>170</v>
      </c>
      <c r="D531" t="s">
        <v>413</v>
      </c>
      <c r="E531" s="43" t="s">
        <v>336</v>
      </c>
      <c r="F531" t="s">
        <v>68</v>
      </c>
      <c r="G531">
        <v>37267.800000000003</v>
      </c>
      <c r="H531">
        <v>38.030419999999999</v>
      </c>
      <c r="I531" s="46">
        <f>ROUNDUP(H531/30,0)*VLOOKUP(D531,'报价表-配送'!$B$47:$I$51,8,0)</f>
        <v>0</v>
      </c>
      <c r="N531" s="38">
        <f t="shared" si="8"/>
        <v>0</v>
      </c>
    </row>
    <row r="532" spans="1:14" x14ac:dyDescent="0.25">
      <c r="A532" t="s">
        <v>103</v>
      </c>
      <c r="B532" s="43" t="s">
        <v>180</v>
      </c>
      <c r="C532" s="62">
        <f>VLOOKUP(B532,合并仓明细!$D$2:$F$74,3,0)</f>
        <v>170</v>
      </c>
      <c r="D532" t="s">
        <v>413</v>
      </c>
      <c r="E532" s="43" t="s">
        <v>336</v>
      </c>
      <c r="F532" t="s">
        <v>67</v>
      </c>
      <c r="G532">
        <v>43.88</v>
      </c>
      <c r="H532"/>
      <c r="I532" s="38"/>
      <c r="J532" s="38"/>
      <c r="K532" s="38"/>
      <c r="L532" s="37"/>
      <c r="M532" s="37"/>
      <c r="N532" s="38">
        <f t="shared" si="8"/>
        <v>0</v>
      </c>
    </row>
    <row r="533" spans="1:14" x14ac:dyDescent="0.25">
      <c r="A533" t="s">
        <v>103</v>
      </c>
      <c r="B533" s="43" t="s">
        <v>180</v>
      </c>
      <c r="C533" s="62">
        <f>VLOOKUP(B533,合并仓明细!$D$2:$F$74,3,0)</f>
        <v>170</v>
      </c>
      <c r="D533" t="s">
        <v>413</v>
      </c>
      <c r="E533" s="43" t="s">
        <v>336</v>
      </c>
      <c r="F533" t="s">
        <v>66</v>
      </c>
      <c r="G533">
        <v>718.74</v>
      </c>
      <c r="H533"/>
      <c r="N533" s="38">
        <f t="shared" si="8"/>
        <v>0</v>
      </c>
    </row>
    <row r="534" spans="1:14" x14ac:dyDescent="0.25">
      <c r="A534" t="s">
        <v>103</v>
      </c>
      <c r="B534" s="43" t="s">
        <v>180</v>
      </c>
      <c r="C534" s="62">
        <f>VLOOKUP(B534,合并仓明细!$D$2:$F$74,3,0)</f>
        <v>170</v>
      </c>
      <c r="D534" t="s">
        <v>413</v>
      </c>
      <c r="E534" s="43" t="s">
        <v>274</v>
      </c>
      <c r="F534" t="s">
        <v>68</v>
      </c>
      <c r="G534">
        <v>658.02</v>
      </c>
      <c r="H534">
        <v>12.581390000000003</v>
      </c>
      <c r="I534" s="46">
        <f>ROUNDUP(H534/30,0)*VLOOKUP(D534,'报价表-配送'!$B$47:$I$51,8,0)</f>
        <v>0</v>
      </c>
      <c r="J534" s="37"/>
      <c r="K534" s="37"/>
      <c r="L534" s="37"/>
      <c r="M534" s="37"/>
      <c r="N534" s="38">
        <f t="shared" si="8"/>
        <v>0</v>
      </c>
    </row>
    <row r="535" spans="1:14" x14ac:dyDescent="0.25">
      <c r="A535" t="s">
        <v>103</v>
      </c>
      <c r="B535" s="43" t="s">
        <v>180</v>
      </c>
      <c r="C535" s="62">
        <f>VLOOKUP(B535,合并仓明细!$D$2:$F$74,3,0)</f>
        <v>170</v>
      </c>
      <c r="D535" t="s">
        <v>413</v>
      </c>
      <c r="E535" s="43" t="s">
        <v>274</v>
      </c>
      <c r="F535" t="s">
        <v>67</v>
      </c>
      <c r="G535">
        <v>11860.790000000003</v>
      </c>
      <c r="H535"/>
      <c r="N535" s="38">
        <f t="shared" si="8"/>
        <v>0</v>
      </c>
    </row>
    <row r="536" spans="1:14" x14ac:dyDescent="0.25">
      <c r="A536" t="s">
        <v>103</v>
      </c>
      <c r="B536" s="43" t="s">
        <v>180</v>
      </c>
      <c r="C536" s="62">
        <f>VLOOKUP(B536,合并仓明细!$D$2:$F$74,3,0)</f>
        <v>170</v>
      </c>
      <c r="D536" t="s">
        <v>413</v>
      </c>
      <c r="E536" s="43" t="s">
        <v>274</v>
      </c>
      <c r="F536" t="s">
        <v>66</v>
      </c>
      <c r="G536">
        <v>62.58</v>
      </c>
      <c r="H536"/>
      <c r="N536" s="38">
        <f t="shared" si="8"/>
        <v>0</v>
      </c>
    </row>
    <row r="537" spans="1:14" x14ac:dyDescent="0.25">
      <c r="A537" t="s">
        <v>103</v>
      </c>
      <c r="B537" s="43" t="s">
        <v>180</v>
      </c>
      <c r="C537" s="62">
        <f>VLOOKUP(B537,合并仓明细!$D$2:$F$74,3,0)</f>
        <v>170</v>
      </c>
      <c r="D537" t="s">
        <v>413</v>
      </c>
      <c r="E537" s="43" t="s">
        <v>351</v>
      </c>
      <c r="F537" t="s">
        <v>67</v>
      </c>
      <c r="G537">
        <v>1366.77</v>
      </c>
      <c r="H537">
        <v>1.4447699999999999</v>
      </c>
      <c r="I537" s="38">
        <f>IF(H537&gt;30,QUOTIENT(H537,30)*VLOOKUP(D537,'报价表-配送'!$B$47:$I$51,8,0),0)+IF(AND(MOD(H537,30)&gt;18,MOD(H537,30)&lt;=30),1,0)*VLOOKUP(D537,'报价表-配送'!$B$47:$I$51,8,0)</f>
        <v>0</v>
      </c>
      <c r="J537" s="38">
        <f>IF(AND(MOD(H537,30)&gt;8,MOD(H537,30)&lt;=18),1*VLOOKUP(D537,'报价表-配送'!$B$47:$I$51,7,0),0)</f>
        <v>0</v>
      </c>
      <c r="K537" s="38">
        <f>IF(AND(MOD(H537,30)&lt;=8,MOD(H537,30)&gt;0),1,0)*VLOOKUP(D537,'报价表-配送'!$B$47:$I$51,6,0)</f>
        <v>0</v>
      </c>
      <c r="L537" s="37"/>
      <c r="M537" s="37"/>
      <c r="N537" s="38">
        <f t="shared" si="8"/>
        <v>0</v>
      </c>
    </row>
    <row r="538" spans="1:14" x14ac:dyDescent="0.25">
      <c r="A538" t="s">
        <v>103</v>
      </c>
      <c r="B538" s="43" t="s">
        <v>180</v>
      </c>
      <c r="C538" s="62">
        <f>VLOOKUP(B538,合并仓明细!$D$2:$F$74,3,0)</f>
        <v>170</v>
      </c>
      <c r="D538" t="s">
        <v>413</v>
      </c>
      <c r="E538" s="43" t="s">
        <v>351</v>
      </c>
      <c r="F538" t="s">
        <v>66</v>
      </c>
      <c r="G538">
        <v>78</v>
      </c>
      <c r="H538"/>
      <c r="N538" s="38">
        <f t="shared" si="8"/>
        <v>0</v>
      </c>
    </row>
    <row r="539" spans="1:14" x14ac:dyDescent="0.25">
      <c r="A539" t="s">
        <v>103</v>
      </c>
      <c r="B539" s="43" t="s">
        <v>180</v>
      </c>
      <c r="C539" s="62">
        <f>VLOOKUP(B539,合并仓明细!$D$2:$F$74,3,0)</f>
        <v>170</v>
      </c>
      <c r="D539" t="s">
        <v>413</v>
      </c>
      <c r="E539" s="43" t="s">
        <v>275</v>
      </c>
      <c r="F539" t="s">
        <v>66</v>
      </c>
      <c r="G539">
        <v>44.17</v>
      </c>
      <c r="H539">
        <v>4.4170000000000001E-2</v>
      </c>
      <c r="L539" s="37">
        <f>IF(H539&gt;30,QUOTIENT(H539,30)*VLOOKUP(D539,'报价表-配送'!$B$47:$I$51,8,0),0)+IF(AND(MOD(H539,30)&gt;18,MOD(H539,30)&lt;=30),1,0)*VLOOKUP(D539,'报价表-配送'!$B$47:$I$51,8,0)+IF(AND(MOD(H539,30)&gt;8,MOD(H539,30)&lt;=18),1*VLOOKUP(D539,'报价表-配送'!$B$47:$I$51,7,0),0)+IF(AND(MOD(H539,30)&lt;=8,MOD(H539,30)&gt;2.5),1,0)*VLOOKUP(D539,'报价表-配送'!$B$47:$I$51,6,0)+IF(AND(MOD(H539,30)&lt;=2.5,MOD(H539,30)&gt;=1.5),1,0)*VLOOKUP(D539,'报价表-配送'!$B$47:$I$51,5,0)</f>
        <v>0</v>
      </c>
      <c r="M539" s="39">
        <f>IF(AND(MOD(H539,30)&lt;1.5,MOD(H539,30)&gt;=0.5),H539,0)*VLOOKUP(D539,'报价表-配送'!$B$47:$I$51,4,0)*1000+IF(AND(MOD(H539,30)&lt;0.5,MOD(H539,30)&gt;=0.02),H539,0)*VLOOKUP(D539,'报价表-配送'!$B$47:$I$51,3,0)*1000+IF(AND(MOD(H539,30)&lt;0.02),H539,0)*VLOOKUP(D539,'报价表-配送'!$B$47:$I$51,2,0)*1000</f>
        <v>0</v>
      </c>
      <c r="N539" s="38">
        <f t="shared" si="8"/>
        <v>0</v>
      </c>
    </row>
    <row r="540" spans="1:14" x14ac:dyDescent="0.25">
      <c r="A540" t="s">
        <v>103</v>
      </c>
      <c r="B540" s="43" t="s">
        <v>180</v>
      </c>
      <c r="C540" s="62">
        <f>VLOOKUP(B540,合并仓明细!$D$2:$F$74,3,0)</f>
        <v>170</v>
      </c>
      <c r="D540" t="s">
        <v>413</v>
      </c>
      <c r="E540" s="43" t="s">
        <v>346</v>
      </c>
      <c r="F540" t="s">
        <v>66</v>
      </c>
      <c r="G540">
        <v>806.43</v>
      </c>
      <c r="H540">
        <v>0.80642999999999998</v>
      </c>
      <c r="I540" s="46"/>
      <c r="J540" s="37"/>
      <c r="K540" s="37"/>
      <c r="L540" s="37">
        <f>IF(H540&gt;30,QUOTIENT(H540,30)*VLOOKUP(D540,'报价表-配送'!$B$47:$I$51,8,0),0)+IF(AND(MOD(H540,30)&gt;18,MOD(H540,30)&lt;=30),1,0)*VLOOKUP(D540,'报价表-配送'!$B$47:$I$51,8,0)+IF(AND(MOD(H540,30)&gt;8,MOD(H540,30)&lt;=18),1*VLOOKUP(D540,'报价表-配送'!$B$47:$I$51,7,0),0)+IF(AND(MOD(H540,30)&lt;=8,MOD(H540,30)&gt;2.5),1,0)*VLOOKUP(D540,'报价表-配送'!$B$47:$I$51,6,0)+IF(AND(MOD(H540,30)&lt;=2.5,MOD(H540,30)&gt;=1.5),1,0)*VLOOKUP(D540,'报价表-配送'!$B$47:$I$51,5,0)</f>
        <v>0</v>
      </c>
      <c r="M540" s="39">
        <f>IF(AND(MOD(H540,30)&lt;1.5,MOD(H540,30)&gt;=0.5),H540,0)*VLOOKUP(D540,'报价表-配送'!$B$47:$I$51,4,0)*1000+IF(AND(MOD(H540,30)&lt;0.5,MOD(H540,30)&gt;=0.02),H540,0)*VLOOKUP(D540,'报价表-配送'!$B$47:$I$51,3,0)*1000+IF(AND(MOD(H540,30)&lt;0.02),H540,0)*VLOOKUP(D540,'报价表-配送'!$B$47:$I$51,2,0)*1000</f>
        <v>0</v>
      </c>
      <c r="N540" s="38">
        <f t="shared" si="8"/>
        <v>0</v>
      </c>
    </row>
    <row r="541" spans="1:14" x14ac:dyDescent="0.25">
      <c r="A541" t="s">
        <v>103</v>
      </c>
      <c r="B541" s="43" t="s">
        <v>180</v>
      </c>
      <c r="C541" s="62">
        <f>VLOOKUP(B541,合并仓明细!$D$2:$F$74,3,0)</f>
        <v>170</v>
      </c>
      <c r="D541" t="s">
        <v>413</v>
      </c>
      <c r="E541" s="43" t="s">
        <v>276</v>
      </c>
      <c r="F541" t="s">
        <v>66</v>
      </c>
      <c r="G541">
        <v>561.38</v>
      </c>
      <c r="H541">
        <v>0.56137999999999999</v>
      </c>
      <c r="L541" s="37">
        <f>IF(H541&gt;30,QUOTIENT(H541,30)*VLOOKUP(D541,'报价表-配送'!$B$47:$I$51,8,0),0)+IF(AND(MOD(H541,30)&gt;18,MOD(H541,30)&lt;=30),1,0)*VLOOKUP(D541,'报价表-配送'!$B$47:$I$51,8,0)+IF(AND(MOD(H541,30)&gt;8,MOD(H541,30)&lt;=18),1*VLOOKUP(D541,'报价表-配送'!$B$47:$I$51,7,0),0)+IF(AND(MOD(H541,30)&lt;=8,MOD(H541,30)&gt;2.5),1,0)*VLOOKUP(D541,'报价表-配送'!$B$47:$I$51,6,0)+IF(AND(MOD(H541,30)&lt;=2.5,MOD(H541,30)&gt;=1.5),1,0)*VLOOKUP(D541,'报价表-配送'!$B$47:$I$51,5,0)</f>
        <v>0</v>
      </c>
      <c r="M541" s="39">
        <f>IF(AND(MOD(H541,30)&lt;1.5,MOD(H541,30)&gt;=0.5),H541,0)*VLOOKUP(D541,'报价表-配送'!$B$47:$I$51,4,0)*1000+IF(AND(MOD(H541,30)&lt;0.5,MOD(H541,30)&gt;=0.02),H541,0)*VLOOKUP(D541,'报价表-配送'!$B$47:$I$51,3,0)*1000+IF(AND(MOD(H541,30)&lt;0.02),H541,0)*VLOOKUP(D541,'报价表-配送'!$B$47:$I$51,2,0)*1000</f>
        <v>0</v>
      </c>
      <c r="N541" s="38">
        <f t="shared" si="8"/>
        <v>0</v>
      </c>
    </row>
    <row r="542" spans="1:14" x14ac:dyDescent="0.25">
      <c r="A542" t="s">
        <v>103</v>
      </c>
      <c r="B542" s="43" t="s">
        <v>180</v>
      </c>
      <c r="C542" s="62">
        <f>VLOOKUP(B542,合并仓明细!$D$2:$F$74,3,0)</f>
        <v>170</v>
      </c>
      <c r="D542" t="s">
        <v>413</v>
      </c>
      <c r="E542" s="43" t="s">
        <v>337</v>
      </c>
      <c r="F542" t="s">
        <v>66</v>
      </c>
      <c r="G542">
        <v>5.57</v>
      </c>
      <c r="H542">
        <v>5.5700000000000003E-3</v>
      </c>
      <c r="L542" s="37">
        <f>IF(H542&gt;30,QUOTIENT(H542,30)*VLOOKUP(D542,'报价表-配送'!$B$47:$I$51,8,0),0)+IF(AND(MOD(H542,30)&gt;18,MOD(H542,30)&lt;=30),1,0)*VLOOKUP(D542,'报价表-配送'!$B$47:$I$51,8,0)+IF(AND(MOD(H542,30)&gt;8,MOD(H542,30)&lt;=18),1*VLOOKUP(D542,'报价表-配送'!$B$47:$I$51,7,0),0)+IF(AND(MOD(H542,30)&lt;=8,MOD(H542,30)&gt;2.5),1,0)*VLOOKUP(D542,'报价表-配送'!$B$47:$I$51,6,0)+IF(AND(MOD(H542,30)&lt;=2.5,MOD(H542,30)&gt;=1.5),1,0)*VLOOKUP(D542,'报价表-配送'!$B$47:$I$51,5,0)</f>
        <v>0</v>
      </c>
      <c r="M542" s="39">
        <f>IF(AND(MOD(H542,30)&lt;1.5,MOD(H542,30)&gt;=0.5),H542,0)*VLOOKUP(D542,'报价表-配送'!$B$47:$I$51,4,0)*1000+IF(AND(MOD(H542,30)&lt;0.5,MOD(H542,30)&gt;=0.02),H542,0)*VLOOKUP(D542,'报价表-配送'!$B$47:$I$51,3,0)*1000+IF(AND(MOD(H542,30)&lt;0.02),H542,0)*VLOOKUP(D542,'报价表-配送'!$B$47:$I$51,2,0)*1000</f>
        <v>0</v>
      </c>
      <c r="N542" s="38">
        <f t="shared" si="8"/>
        <v>0</v>
      </c>
    </row>
    <row r="543" spans="1:14" x14ac:dyDescent="0.25">
      <c r="A543" t="s">
        <v>103</v>
      </c>
      <c r="B543" s="43" t="s">
        <v>180</v>
      </c>
      <c r="C543" s="62">
        <f>VLOOKUP(B543,合并仓明细!$D$2:$F$74,3,0)</f>
        <v>170</v>
      </c>
      <c r="D543" t="s">
        <v>413</v>
      </c>
      <c r="E543" s="43" t="s">
        <v>352</v>
      </c>
      <c r="F543" t="s">
        <v>66</v>
      </c>
      <c r="G543">
        <v>169.98</v>
      </c>
      <c r="H543">
        <v>0.16997999999999999</v>
      </c>
      <c r="I543" s="46"/>
      <c r="J543" s="37"/>
      <c r="K543" s="37"/>
      <c r="L543" s="37">
        <f>IF(H543&gt;30,QUOTIENT(H543,30)*VLOOKUP(D543,'报价表-配送'!$B$47:$I$51,8,0),0)+IF(AND(MOD(H543,30)&gt;18,MOD(H543,30)&lt;=30),1,0)*VLOOKUP(D543,'报价表-配送'!$B$47:$I$51,8,0)+IF(AND(MOD(H543,30)&gt;8,MOD(H543,30)&lt;=18),1*VLOOKUP(D543,'报价表-配送'!$B$47:$I$51,7,0),0)+IF(AND(MOD(H543,30)&lt;=8,MOD(H543,30)&gt;2.5),1,0)*VLOOKUP(D543,'报价表-配送'!$B$47:$I$51,6,0)+IF(AND(MOD(H543,30)&lt;=2.5,MOD(H543,30)&gt;=1.5),1,0)*VLOOKUP(D543,'报价表-配送'!$B$47:$I$51,5,0)</f>
        <v>0</v>
      </c>
      <c r="M543" s="39">
        <f>IF(AND(MOD(H543,30)&lt;1.5,MOD(H543,30)&gt;=0.5),H543,0)*VLOOKUP(D543,'报价表-配送'!$B$47:$I$51,4,0)*1000+IF(AND(MOD(H543,30)&lt;0.5,MOD(H543,30)&gt;=0.02),H543,0)*VLOOKUP(D543,'报价表-配送'!$B$47:$I$51,3,0)*1000+IF(AND(MOD(H543,30)&lt;0.02),H543,0)*VLOOKUP(D543,'报价表-配送'!$B$47:$I$51,2,0)*1000</f>
        <v>0</v>
      </c>
      <c r="N543" s="38">
        <f t="shared" si="8"/>
        <v>0</v>
      </c>
    </row>
    <row r="544" spans="1:14" x14ac:dyDescent="0.25">
      <c r="A544" t="s">
        <v>103</v>
      </c>
      <c r="B544" s="43" t="s">
        <v>180</v>
      </c>
      <c r="C544" s="62">
        <f>VLOOKUP(B544,合并仓明细!$D$2:$F$74,3,0)</f>
        <v>170</v>
      </c>
      <c r="D544" t="s">
        <v>413</v>
      </c>
      <c r="E544" s="43" t="s">
        <v>312</v>
      </c>
      <c r="F544" t="s">
        <v>66</v>
      </c>
      <c r="G544">
        <v>80.06</v>
      </c>
      <c r="H544">
        <v>8.0060000000000006E-2</v>
      </c>
      <c r="L544" s="37">
        <f>IF(H544&gt;30,QUOTIENT(H544,30)*VLOOKUP(D544,'报价表-配送'!$B$47:$I$51,8,0),0)+IF(AND(MOD(H544,30)&gt;18,MOD(H544,30)&lt;=30),1,0)*VLOOKUP(D544,'报价表-配送'!$B$47:$I$51,8,0)+IF(AND(MOD(H544,30)&gt;8,MOD(H544,30)&lt;=18),1*VLOOKUP(D544,'报价表-配送'!$B$47:$I$51,7,0),0)+IF(AND(MOD(H544,30)&lt;=8,MOD(H544,30)&gt;2.5),1,0)*VLOOKUP(D544,'报价表-配送'!$B$47:$I$51,6,0)+IF(AND(MOD(H544,30)&lt;=2.5,MOD(H544,30)&gt;=1.5),1,0)*VLOOKUP(D544,'报价表-配送'!$B$47:$I$51,5,0)</f>
        <v>0</v>
      </c>
      <c r="M544" s="39">
        <f>IF(AND(MOD(H544,30)&lt;1.5,MOD(H544,30)&gt;=0.5),H544,0)*VLOOKUP(D544,'报价表-配送'!$B$47:$I$51,4,0)*1000+IF(AND(MOD(H544,30)&lt;0.5,MOD(H544,30)&gt;=0.02),H544,0)*VLOOKUP(D544,'报价表-配送'!$B$47:$I$51,3,0)*1000+IF(AND(MOD(H544,30)&lt;0.02),H544,0)*VLOOKUP(D544,'报价表-配送'!$B$47:$I$51,2,0)*1000</f>
        <v>0</v>
      </c>
      <c r="N544" s="38">
        <f t="shared" si="8"/>
        <v>0</v>
      </c>
    </row>
    <row r="545" spans="1:14" x14ac:dyDescent="0.25">
      <c r="A545" t="s">
        <v>103</v>
      </c>
      <c r="B545" s="43" t="s">
        <v>180</v>
      </c>
      <c r="C545" s="62">
        <f>VLOOKUP(B545,合并仓明细!$D$2:$F$74,3,0)</f>
        <v>170</v>
      </c>
      <c r="D545" t="s">
        <v>413</v>
      </c>
      <c r="E545" s="43" t="s">
        <v>281</v>
      </c>
      <c r="F545" t="s">
        <v>66</v>
      </c>
      <c r="G545">
        <v>19.5</v>
      </c>
      <c r="H545">
        <v>1.95E-2</v>
      </c>
      <c r="L545" s="37">
        <f>IF(H545&gt;30,QUOTIENT(H545,30)*VLOOKUP(D545,'报价表-配送'!$B$47:$I$51,8,0),0)+IF(AND(MOD(H545,30)&gt;18,MOD(H545,30)&lt;=30),1,0)*VLOOKUP(D545,'报价表-配送'!$B$47:$I$51,8,0)+IF(AND(MOD(H545,30)&gt;8,MOD(H545,30)&lt;=18),1*VLOOKUP(D545,'报价表-配送'!$B$47:$I$51,7,0),0)+IF(AND(MOD(H545,30)&lt;=8,MOD(H545,30)&gt;2.5),1,0)*VLOOKUP(D545,'报价表-配送'!$B$47:$I$51,6,0)+IF(AND(MOD(H545,30)&lt;=2.5,MOD(H545,30)&gt;=1.5),1,0)*VLOOKUP(D545,'报价表-配送'!$B$47:$I$51,5,0)</f>
        <v>0</v>
      </c>
      <c r="M545" s="39">
        <f>IF(AND(MOD(H545,30)&lt;1.5,MOD(H545,30)&gt;=0.5),H545,0)*VLOOKUP(D545,'报价表-配送'!$B$47:$I$51,4,0)*1000+IF(AND(MOD(H545,30)&lt;0.5,MOD(H545,30)&gt;=0.02),H545,0)*VLOOKUP(D545,'报价表-配送'!$B$47:$I$51,3,0)*1000+IF(AND(MOD(H545,30)&lt;0.02),H545,0)*VLOOKUP(D545,'报价表-配送'!$B$47:$I$51,2,0)*1000</f>
        <v>0</v>
      </c>
      <c r="N545" s="38">
        <f t="shared" si="8"/>
        <v>0</v>
      </c>
    </row>
    <row r="546" spans="1:14" x14ac:dyDescent="0.25">
      <c r="A546" t="s">
        <v>103</v>
      </c>
      <c r="B546" s="43" t="s">
        <v>180</v>
      </c>
      <c r="C546" s="62">
        <f>VLOOKUP(B546,合并仓明细!$D$2:$F$74,3,0)</f>
        <v>170</v>
      </c>
      <c r="D546" t="s">
        <v>413</v>
      </c>
      <c r="E546" s="43" t="s">
        <v>339</v>
      </c>
      <c r="F546" t="s">
        <v>68</v>
      </c>
      <c r="G546">
        <v>4056.41</v>
      </c>
      <c r="H546">
        <v>15.04434</v>
      </c>
      <c r="I546" s="46">
        <f>ROUNDUP(H546/30,0)*VLOOKUP(D546,'报价表-配送'!$B$47:$I$51,8,0)</f>
        <v>0</v>
      </c>
      <c r="J546" s="37"/>
      <c r="K546" s="37"/>
      <c r="L546" s="37"/>
      <c r="M546" s="37"/>
      <c r="N546" s="38">
        <f t="shared" si="8"/>
        <v>0</v>
      </c>
    </row>
    <row r="547" spans="1:14" x14ac:dyDescent="0.25">
      <c r="A547" t="s">
        <v>103</v>
      </c>
      <c r="B547" s="43" t="s">
        <v>180</v>
      </c>
      <c r="C547" s="62">
        <f>VLOOKUP(B547,合并仓明细!$D$2:$F$74,3,0)</f>
        <v>170</v>
      </c>
      <c r="D547" t="s">
        <v>413</v>
      </c>
      <c r="E547" s="43" t="s">
        <v>339</v>
      </c>
      <c r="F547" t="s">
        <v>67</v>
      </c>
      <c r="G547">
        <v>8740.77</v>
      </c>
      <c r="H547"/>
      <c r="N547" s="38">
        <f t="shared" si="8"/>
        <v>0</v>
      </c>
    </row>
    <row r="548" spans="1:14" x14ac:dyDescent="0.25">
      <c r="A548" t="s">
        <v>103</v>
      </c>
      <c r="B548" s="43" t="s">
        <v>180</v>
      </c>
      <c r="C548" s="62">
        <f>VLOOKUP(B548,合并仓明细!$D$2:$F$74,3,0)</f>
        <v>170</v>
      </c>
      <c r="D548" t="s">
        <v>413</v>
      </c>
      <c r="E548" s="43" t="s">
        <v>339</v>
      </c>
      <c r="F548" t="s">
        <v>66</v>
      </c>
      <c r="G548">
        <v>2247.16</v>
      </c>
      <c r="H548"/>
      <c r="N548" s="38">
        <f t="shared" si="8"/>
        <v>0</v>
      </c>
    </row>
    <row r="549" spans="1:14" x14ac:dyDescent="0.25">
      <c r="A549" t="s">
        <v>103</v>
      </c>
      <c r="B549" s="43" t="s">
        <v>180</v>
      </c>
      <c r="C549" s="62">
        <f>VLOOKUP(B549,合并仓明细!$D$2:$F$74,3,0)</f>
        <v>170</v>
      </c>
      <c r="D549" t="s">
        <v>413</v>
      </c>
      <c r="E549" s="43" t="s">
        <v>313</v>
      </c>
      <c r="F549" t="s">
        <v>67</v>
      </c>
      <c r="G549">
        <v>6629.99</v>
      </c>
      <c r="H549">
        <v>6.6387900000000002</v>
      </c>
      <c r="I549" s="38">
        <f>IF(H549&gt;30,QUOTIENT(H549,30)*VLOOKUP(D549,'报价表-配送'!$B$47:$I$51,8,0),0)+IF(AND(MOD(H549,30)&gt;18,MOD(H549,30)&lt;=30),1,0)*VLOOKUP(D549,'报价表-配送'!$B$47:$I$51,8,0)</f>
        <v>0</v>
      </c>
      <c r="J549" s="38">
        <f>IF(AND(MOD(H549,30)&gt;8,MOD(H549,30)&lt;=18),1*VLOOKUP(D549,'报价表-配送'!$B$47:$I$51,7,0),0)</f>
        <v>0</v>
      </c>
      <c r="K549" s="38">
        <f>IF(AND(MOD(H549,30)&lt;=8,MOD(H549,30)&gt;0),1,0)*VLOOKUP(D549,'报价表-配送'!$B$47:$I$51,6,0)</f>
        <v>0</v>
      </c>
      <c r="L549" s="37"/>
      <c r="M549" s="37"/>
      <c r="N549" s="38">
        <f t="shared" si="8"/>
        <v>0</v>
      </c>
    </row>
    <row r="550" spans="1:14" x14ac:dyDescent="0.25">
      <c r="A550" t="s">
        <v>103</v>
      </c>
      <c r="B550" s="45" t="s">
        <v>180</v>
      </c>
      <c r="C550" s="62">
        <f>VLOOKUP(B550,合并仓明细!$D$2:$F$74,3,0)</f>
        <v>170</v>
      </c>
      <c r="D550" t="s">
        <v>413</v>
      </c>
      <c r="E550" s="43" t="s">
        <v>313</v>
      </c>
      <c r="F550" t="s">
        <v>66</v>
      </c>
      <c r="G550">
        <v>8.8000000000000007</v>
      </c>
      <c r="H550"/>
      <c r="L550" s="37"/>
      <c r="M550" s="39"/>
      <c r="N550" s="38">
        <f t="shared" si="8"/>
        <v>0</v>
      </c>
    </row>
    <row r="551" spans="1:14" x14ac:dyDescent="0.25">
      <c r="A551" t="s">
        <v>103</v>
      </c>
      <c r="B551" s="43" t="s">
        <v>180</v>
      </c>
      <c r="C551" s="62">
        <f>VLOOKUP(B551,合并仓明细!$D$2:$F$74,3,0)</f>
        <v>170</v>
      </c>
      <c r="D551" t="s">
        <v>413</v>
      </c>
      <c r="E551" s="43" t="s">
        <v>285</v>
      </c>
      <c r="F551" t="s">
        <v>66</v>
      </c>
      <c r="G551">
        <v>408.99</v>
      </c>
      <c r="H551">
        <v>0.40899000000000002</v>
      </c>
      <c r="L551" s="37">
        <f>IF(H551&gt;30,QUOTIENT(H551,30)*VLOOKUP(D551,'报价表-配送'!$B$47:$I$51,8,0),0)+IF(AND(MOD(H551,30)&gt;18,MOD(H551,30)&lt;=30),1,0)*VLOOKUP(D551,'报价表-配送'!$B$47:$I$51,8,0)+IF(AND(MOD(H551,30)&gt;8,MOD(H551,30)&lt;=18),1*VLOOKUP(D551,'报价表-配送'!$B$47:$I$51,7,0),0)+IF(AND(MOD(H551,30)&lt;=8,MOD(H551,30)&gt;2.5),1,0)*VLOOKUP(D551,'报价表-配送'!$B$47:$I$51,6,0)+IF(AND(MOD(H551,30)&lt;=2.5,MOD(H551,30)&gt;=1.5),1,0)*VLOOKUP(D551,'报价表-配送'!$B$47:$I$51,5,0)</f>
        <v>0</v>
      </c>
      <c r="M551" s="39">
        <f>IF(AND(MOD(H551,30)&lt;1.5,MOD(H551,30)&gt;=0.5),H551,0)*VLOOKUP(D551,'报价表-配送'!$B$47:$I$51,4,0)*1000+IF(AND(MOD(H551,30)&lt;0.5,MOD(H551,30)&gt;=0.02),H551,0)*VLOOKUP(D551,'报价表-配送'!$B$47:$I$51,3,0)*1000+IF(AND(MOD(H551,30)&lt;0.02),H551,0)*VLOOKUP(D551,'报价表-配送'!$B$47:$I$51,2,0)*1000</f>
        <v>0</v>
      </c>
      <c r="N551" s="38">
        <f t="shared" si="8"/>
        <v>0</v>
      </c>
    </row>
    <row r="552" spans="1:14" x14ac:dyDescent="0.25">
      <c r="A552" t="s">
        <v>103</v>
      </c>
      <c r="B552" s="43" t="s">
        <v>180</v>
      </c>
      <c r="C552" s="62">
        <f>VLOOKUP(B552,合并仓明细!$D$2:$F$74,3,0)</f>
        <v>170</v>
      </c>
      <c r="D552" t="s">
        <v>413</v>
      </c>
      <c r="E552" s="43" t="s">
        <v>329</v>
      </c>
      <c r="F552" t="s">
        <v>68</v>
      </c>
      <c r="G552">
        <v>12687.6</v>
      </c>
      <c r="H552">
        <v>12.881880000000001</v>
      </c>
      <c r="I552" s="46">
        <f>ROUNDUP(H552/30,0)*VLOOKUP(D552,'报价表-配送'!$B$47:$I$51,8,0)</f>
        <v>0</v>
      </c>
      <c r="J552" s="37"/>
      <c r="K552" s="37"/>
      <c r="L552" s="37"/>
      <c r="M552" s="37"/>
      <c r="N552" s="38">
        <f t="shared" si="8"/>
        <v>0</v>
      </c>
    </row>
    <row r="553" spans="1:14" x14ac:dyDescent="0.25">
      <c r="A553" t="s">
        <v>103</v>
      </c>
      <c r="B553" s="43" t="s">
        <v>180</v>
      </c>
      <c r="C553" s="62">
        <f>VLOOKUP(B553,合并仓明细!$D$2:$F$74,3,0)</f>
        <v>170</v>
      </c>
      <c r="D553" t="s">
        <v>413</v>
      </c>
      <c r="E553" s="43" t="s">
        <v>329</v>
      </c>
      <c r="F553" t="s">
        <v>66</v>
      </c>
      <c r="G553">
        <v>194.28000000000003</v>
      </c>
      <c r="H553"/>
      <c r="N553" s="38">
        <f t="shared" si="8"/>
        <v>0</v>
      </c>
    </row>
    <row r="554" spans="1:14" x14ac:dyDescent="0.25">
      <c r="A554" t="s">
        <v>103</v>
      </c>
      <c r="B554" s="43" t="s">
        <v>180</v>
      </c>
      <c r="C554" s="62">
        <f>VLOOKUP(B554,合并仓明细!$D$2:$F$74,3,0)</f>
        <v>170</v>
      </c>
      <c r="D554" t="s">
        <v>413</v>
      </c>
      <c r="E554" s="43" t="s">
        <v>289</v>
      </c>
      <c r="F554" t="s">
        <v>66</v>
      </c>
      <c r="G554">
        <v>91.699999999999989</v>
      </c>
      <c r="H554">
        <v>9.169999999999999E-2</v>
      </c>
      <c r="L554" s="37">
        <f>IF(H554&gt;30,QUOTIENT(H554,30)*VLOOKUP(D554,'报价表-配送'!$B$47:$I$51,8,0),0)+IF(AND(MOD(H554,30)&gt;18,MOD(H554,30)&lt;=30),1,0)*VLOOKUP(D554,'报价表-配送'!$B$47:$I$51,8,0)+IF(AND(MOD(H554,30)&gt;8,MOD(H554,30)&lt;=18),1*VLOOKUP(D554,'报价表-配送'!$B$47:$I$51,7,0),0)+IF(AND(MOD(H554,30)&lt;=8,MOD(H554,30)&gt;2.5),1,0)*VLOOKUP(D554,'报价表-配送'!$B$47:$I$51,6,0)+IF(AND(MOD(H554,30)&lt;=2.5,MOD(H554,30)&gt;=1.5),1,0)*VLOOKUP(D554,'报价表-配送'!$B$47:$I$51,5,0)</f>
        <v>0</v>
      </c>
      <c r="M554" s="39">
        <f>IF(AND(MOD(H554,30)&lt;1.5,MOD(H554,30)&gt;=0.5),H554,0)*VLOOKUP(D554,'报价表-配送'!$B$47:$I$51,4,0)*1000+IF(AND(MOD(H554,30)&lt;0.5,MOD(H554,30)&gt;=0.02),H554,0)*VLOOKUP(D554,'报价表-配送'!$B$47:$I$51,3,0)*1000+IF(AND(MOD(H554,30)&lt;0.02),H554,0)*VLOOKUP(D554,'报价表-配送'!$B$47:$I$51,2,0)*1000</f>
        <v>0</v>
      </c>
      <c r="N554" s="38">
        <f t="shared" si="8"/>
        <v>0</v>
      </c>
    </row>
    <row r="555" spans="1:14" x14ac:dyDescent="0.25">
      <c r="A555" t="s">
        <v>103</v>
      </c>
      <c r="B555" s="43" t="s">
        <v>180</v>
      </c>
      <c r="C555" s="62">
        <f>VLOOKUP(B555,合并仓明细!$D$2:$F$74,3,0)</f>
        <v>170</v>
      </c>
      <c r="D555" t="s">
        <v>413</v>
      </c>
      <c r="E555" s="43" t="s">
        <v>314</v>
      </c>
      <c r="F555" t="s">
        <v>67</v>
      </c>
      <c r="G555">
        <v>6250.27</v>
      </c>
      <c r="H555">
        <v>6.2820800000000006</v>
      </c>
      <c r="I555" s="38">
        <f>IF(H555&gt;30,QUOTIENT(H555,30)*VLOOKUP(D555,'报价表-配送'!$B$47:$I$51,8,0),0)+IF(AND(MOD(H555,30)&gt;18,MOD(H555,30)&lt;=30),1,0)*VLOOKUP(D555,'报价表-配送'!$B$47:$I$51,8,0)</f>
        <v>0</v>
      </c>
      <c r="J555" s="38">
        <f>IF(AND(MOD(H555,30)&gt;8,MOD(H555,30)&lt;=18),1*VLOOKUP(D555,'报价表-配送'!$B$47:$I$51,7,0),0)</f>
        <v>0</v>
      </c>
      <c r="K555" s="38">
        <f>IF(AND(MOD(H555,30)&lt;=8,MOD(H555,30)&gt;0),1,0)*VLOOKUP(D555,'报价表-配送'!$B$47:$I$51,6,0)</f>
        <v>0</v>
      </c>
      <c r="L555" s="37"/>
      <c r="M555" s="37"/>
      <c r="N555" s="38">
        <f t="shared" si="8"/>
        <v>0</v>
      </c>
    </row>
    <row r="556" spans="1:14" x14ac:dyDescent="0.25">
      <c r="A556" t="s">
        <v>103</v>
      </c>
      <c r="B556" s="43" t="s">
        <v>180</v>
      </c>
      <c r="C556" s="62">
        <f>VLOOKUP(B556,合并仓明细!$D$2:$F$74,3,0)</f>
        <v>170</v>
      </c>
      <c r="D556" t="s">
        <v>413</v>
      </c>
      <c r="E556" s="43" t="s">
        <v>314</v>
      </c>
      <c r="F556" t="s">
        <v>66</v>
      </c>
      <c r="G556">
        <v>31.810000000000002</v>
      </c>
      <c r="H556"/>
      <c r="N556" s="38">
        <f t="shared" si="8"/>
        <v>0</v>
      </c>
    </row>
    <row r="557" spans="1:14" x14ac:dyDescent="0.25">
      <c r="A557" t="s">
        <v>103</v>
      </c>
      <c r="B557" s="43" t="s">
        <v>180</v>
      </c>
      <c r="C557" s="62">
        <f>VLOOKUP(B557,合并仓明细!$D$2:$F$74,3,0)</f>
        <v>170</v>
      </c>
      <c r="D557" t="s">
        <v>413</v>
      </c>
      <c r="E557" s="43" t="s">
        <v>315</v>
      </c>
      <c r="F557" t="s">
        <v>67</v>
      </c>
      <c r="G557">
        <v>16545.63</v>
      </c>
      <c r="H557">
        <v>17.486650000000001</v>
      </c>
      <c r="I557" s="38">
        <f>IF(H557&gt;30,QUOTIENT(H557,30)*VLOOKUP(D557,'报价表-配送'!$B$47:$I$51,8,0),0)+IF(AND(MOD(H557,30)&gt;18,MOD(H557,30)&lt;=30),1,0)*VLOOKUP(D557,'报价表-配送'!$B$47:$I$51,8,0)</f>
        <v>0</v>
      </c>
      <c r="J557" s="38">
        <f>IF(AND(MOD(H557,30)&gt;8,MOD(H557,30)&lt;=18),1*VLOOKUP(D557,'报价表-配送'!$B$47:$I$51,7,0),0)</f>
        <v>0</v>
      </c>
      <c r="K557" s="38">
        <f>IF(AND(MOD(H557,30)&lt;=8,MOD(H557,30)&gt;0),1,0)*VLOOKUP(D557,'报价表-配送'!$B$47:$I$51,6,0)</f>
        <v>0</v>
      </c>
      <c r="N557" s="38">
        <f t="shared" si="8"/>
        <v>0</v>
      </c>
    </row>
    <row r="558" spans="1:14" x14ac:dyDescent="0.25">
      <c r="A558" t="s">
        <v>103</v>
      </c>
      <c r="B558" s="43" t="s">
        <v>180</v>
      </c>
      <c r="C558" s="62">
        <f>VLOOKUP(B558,合并仓明细!$D$2:$F$74,3,0)</f>
        <v>170</v>
      </c>
      <c r="D558" t="s">
        <v>413</v>
      </c>
      <c r="E558" s="43" t="s">
        <v>315</v>
      </c>
      <c r="F558" t="s">
        <v>66</v>
      </c>
      <c r="G558">
        <v>941.02</v>
      </c>
      <c r="H558"/>
      <c r="I558" s="46"/>
      <c r="J558" s="37"/>
      <c r="K558" s="37"/>
      <c r="L558" s="37"/>
      <c r="M558" s="37"/>
      <c r="N558" s="38">
        <f t="shared" si="8"/>
        <v>0</v>
      </c>
    </row>
    <row r="559" spans="1:14" x14ac:dyDescent="0.25">
      <c r="A559" t="s">
        <v>103</v>
      </c>
      <c r="B559" s="43" t="s">
        <v>180</v>
      </c>
      <c r="C559" s="62">
        <f>VLOOKUP(B559,合并仓明细!$D$2:$F$74,3,0)</f>
        <v>170</v>
      </c>
      <c r="D559" t="s">
        <v>413</v>
      </c>
      <c r="E559" s="43" t="s">
        <v>290</v>
      </c>
      <c r="F559" t="s">
        <v>67</v>
      </c>
      <c r="G559">
        <v>350.31</v>
      </c>
      <c r="H559">
        <v>0.7268</v>
      </c>
      <c r="I559" s="38">
        <f>IF(H559&gt;30,QUOTIENT(H559,30)*VLOOKUP(D559,'报价表-配送'!$B$47:$I$51,8,0),0)+IF(AND(MOD(H559,30)&gt;18,MOD(H559,30)&lt;=30),1,0)*VLOOKUP(D559,'报价表-配送'!$B$47:$I$51,8,0)</f>
        <v>0</v>
      </c>
      <c r="J559" s="38">
        <f>IF(AND(MOD(H559,30)&gt;8,MOD(H559,30)&lt;=18),1*VLOOKUP(D559,'报价表-配送'!$B$47:$I$51,7,0),0)</f>
        <v>0</v>
      </c>
      <c r="K559" s="38">
        <f>IF(AND(MOD(H559,30)&lt;=8,MOD(H559,30)&gt;0),1,0)*VLOOKUP(D559,'报价表-配送'!$B$47:$I$51,6,0)</f>
        <v>0</v>
      </c>
      <c r="N559" s="38">
        <f t="shared" si="8"/>
        <v>0</v>
      </c>
    </row>
    <row r="560" spans="1:14" x14ac:dyDescent="0.25">
      <c r="A560" t="s">
        <v>103</v>
      </c>
      <c r="B560" s="43" t="s">
        <v>180</v>
      </c>
      <c r="C560" s="62">
        <f>VLOOKUP(B560,合并仓明细!$D$2:$F$74,3,0)</f>
        <v>170</v>
      </c>
      <c r="D560" t="s">
        <v>413</v>
      </c>
      <c r="E560" s="43" t="s">
        <v>290</v>
      </c>
      <c r="F560" t="s">
        <v>66</v>
      </c>
      <c r="G560">
        <v>376.49</v>
      </c>
      <c r="H560"/>
      <c r="N560" s="38">
        <f t="shared" si="8"/>
        <v>0</v>
      </c>
    </row>
    <row r="561" spans="1:14" x14ac:dyDescent="0.25">
      <c r="A561" t="s">
        <v>103</v>
      </c>
      <c r="B561" s="43" t="s">
        <v>180</v>
      </c>
      <c r="C561" s="62">
        <f>VLOOKUP(B561,合并仓明细!$D$2:$F$74,3,0)</f>
        <v>170</v>
      </c>
      <c r="D561" t="s">
        <v>413</v>
      </c>
      <c r="E561" s="43" t="s">
        <v>340</v>
      </c>
      <c r="F561" t="s">
        <v>66</v>
      </c>
      <c r="G561">
        <v>178</v>
      </c>
      <c r="H561">
        <v>0.17799999999999999</v>
      </c>
      <c r="I561" s="46"/>
      <c r="J561" s="37"/>
      <c r="K561" s="37"/>
      <c r="L561" s="37">
        <f>IF(H561&gt;30,QUOTIENT(H561,30)*VLOOKUP(D561,'报价表-配送'!$B$47:$I$51,8,0),0)+IF(AND(MOD(H561,30)&gt;18,MOD(H561,30)&lt;=30),1,0)*VLOOKUP(D561,'报价表-配送'!$B$47:$I$51,8,0)+IF(AND(MOD(H561,30)&gt;8,MOD(H561,30)&lt;=18),1*VLOOKUP(D561,'报价表-配送'!$B$47:$I$51,7,0),0)+IF(AND(MOD(H561,30)&lt;=8,MOD(H561,30)&gt;2.5),1,0)*VLOOKUP(D561,'报价表-配送'!$B$47:$I$51,6,0)+IF(AND(MOD(H561,30)&lt;=2.5,MOD(H561,30)&gt;=1.5),1,0)*VLOOKUP(D561,'报价表-配送'!$B$47:$I$51,5,0)</f>
        <v>0</v>
      </c>
      <c r="M561" s="39">
        <f>IF(AND(MOD(H561,30)&lt;1.5,MOD(H561,30)&gt;=0.5),H561,0)*VLOOKUP(D561,'报价表-配送'!$B$47:$I$51,4,0)*1000+IF(AND(MOD(H561,30)&lt;0.5,MOD(H561,30)&gt;=0.02),H561,0)*VLOOKUP(D561,'报价表-配送'!$B$47:$I$51,3,0)*1000+IF(AND(MOD(H561,30)&lt;0.02),H561,0)*VLOOKUP(D561,'报价表-配送'!$B$47:$I$51,2,0)*1000</f>
        <v>0</v>
      </c>
      <c r="N561" s="38">
        <f t="shared" si="8"/>
        <v>0</v>
      </c>
    </row>
    <row r="562" spans="1:14" x14ac:dyDescent="0.25">
      <c r="A562" t="s">
        <v>103</v>
      </c>
      <c r="B562" s="43" t="s">
        <v>180</v>
      </c>
      <c r="C562" s="62">
        <f>VLOOKUP(B562,合并仓明细!$D$2:$F$74,3,0)</f>
        <v>170</v>
      </c>
      <c r="D562" t="s">
        <v>413</v>
      </c>
      <c r="E562" s="43" t="s">
        <v>316</v>
      </c>
      <c r="F562" t="s">
        <v>66</v>
      </c>
      <c r="G562">
        <v>266.14</v>
      </c>
      <c r="H562">
        <v>0.26613999999999999</v>
      </c>
      <c r="L562" s="37">
        <f>IF(H562&gt;30,QUOTIENT(H562,30)*VLOOKUP(D562,'报价表-配送'!$B$47:$I$51,8,0),0)+IF(AND(MOD(H562,30)&gt;18,MOD(H562,30)&lt;=30),1,0)*VLOOKUP(D562,'报价表-配送'!$B$47:$I$51,8,0)+IF(AND(MOD(H562,30)&gt;8,MOD(H562,30)&lt;=18),1*VLOOKUP(D562,'报价表-配送'!$B$47:$I$51,7,0),0)+IF(AND(MOD(H562,30)&lt;=8,MOD(H562,30)&gt;2.5),1,0)*VLOOKUP(D562,'报价表-配送'!$B$47:$I$51,6,0)+IF(AND(MOD(H562,30)&lt;=2.5,MOD(H562,30)&gt;=1.5),1,0)*VLOOKUP(D562,'报价表-配送'!$B$47:$I$51,5,0)</f>
        <v>0</v>
      </c>
      <c r="M562" s="39">
        <f>IF(AND(MOD(H562,30)&lt;1.5,MOD(H562,30)&gt;=0.5),H562,0)*VLOOKUP(D562,'报价表-配送'!$B$47:$I$51,4,0)*1000+IF(AND(MOD(H562,30)&lt;0.5,MOD(H562,30)&gt;=0.02),H562,0)*VLOOKUP(D562,'报价表-配送'!$B$47:$I$51,3,0)*1000+IF(AND(MOD(H562,30)&lt;0.02),H562,0)*VLOOKUP(D562,'报价表-配送'!$B$47:$I$51,2,0)*1000</f>
        <v>0</v>
      </c>
      <c r="N562" s="38">
        <f t="shared" si="8"/>
        <v>0</v>
      </c>
    </row>
    <row r="563" spans="1:14" x14ac:dyDescent="0.25">
      <c r="A563" t="s">
        <v>103</v>
      </c>
      <c r="B563" s="43" t="s">
        <v>180</v>
      </c>
      <c r="C563" s="62">
        <f>VLOOKUP(B563,合并仓明细!$D$2:$F$74,3,0)</f>
        <v>170</v>
      </c>
      <c r="D563" t="s">
        <v>413</v>
      </c>
      <c r="E563" s="43" t="s">
        <v>248</v>
      </c>
      <c r="F563" t="s">
        <v>68</v>
      </c>
      <c r="G563">
        <v>1062.01</v>
      </c>
      <c r="H563">
        <v>1.08734</v>
      </c>
      <c r="I563" s="46">
        <f>ROUNDUP(H563/30,0)*VLOOKUP(D563,'报价表-配送'!$B$47:$I$51,8,0)</f>
        <v>0</v>
      </c>
      <c r="N563" s="38">
        <f t="shared" si="8"/>
        <v>0</v>
      </c>
    </row>
    <row r="564" spans="1:14" x14ac:dyDescent="0.25">
      <c r="A564" t="s">
        <v>103</v>
      </c>
      <c r="B564" s="43" t="s">
        <v>180</v>
      </c>
      <c r="C564" s="62">
        <f>VLOOKUP(B564,合并仓明细!$D$2:$F$74,3,0)</f>
        <v>170</v>
      </c>
      <c r="D564" t="s">
        <v>413</v>
      </c>
      <c r="E564" s="43" t="s">
        <v>248</v>
      </c>
      <c r="F564" t="s">
        <v>66</v>
      </c>
      <c r="G564">
        <v>25.330000000000002</v>
      </c>
      <c r="H564"/>
      <c r="I564" s="46"/>
      <c r="J564" s="37"/>
      <c r="K564" s="37"/>
      <c r="L564" s="37"/>
      <c r="M564" s="37"/>
      <c r="N564" s="38">
        <f t="shared" si="8"/>
        <v>0</v>
      </c>
    </row>
    <row r="565" spans="1:14" x14ac:dyDescent="0.25">
      <c r="A565" t="s">
        <v>103</v>
      </c>
      <c r="B565" s="43" t="s">
        <v>180</v>
      </c>
      <c r="C565" s="62">
        <f>VLOOKUP(B565,合并仓明细!$D$2:$F$74,3,0)</f>
        <v>170</v>
      </c>
      <c r="D565" t="s">
        <v>413</v>
      </c>
      <c r="E565" s="43" t="s">
        <v>291</v>
      </c>
      <c r="F565" t="s">
        <v>68</v>
      </c>
      <c r="G565">
        <v>229.27999999999997</v>
      </c>
      <c r="H565">
        <v>1.8545699999999998</v>
      </c>
      <c r="I565" s="46">
        <f>ROUNDUP(H565/30,0)*VLOOKUP(D565,'报价表-配送'!$B$47:$I$51,8,0)</f>
        <v>0</v>
      </c>
      <c r="N565" s="38">
        <f t="shared" si="8"/>
        <v>0</v>
      </c>
    </row>
    <row r="566" spans="1:14" x14ac:dyDescent="0.25">
      <c r="A566" t="s">
        <v>103</v>
      </c>
      <c r="B566" s="43" t="s">
        <v>180</v>
      </c>
      <c r="C566" s="62">
        <f>VLOOKUP(B566,合并仓明细!$D$2:$F$74,3,0)</f>
        <v>170</v>
      </c>
      <c r="D566" t="s">
        <v>413</v>
      </c>
      <c r="E566" s="43" t="s">
        <v>291</v>
      </c>
      <c r="F566" t="s">
        <v>67</v>
      </c>
      <c r="G566">
        <v>1366.77</v>
      </c>
      <c r="H566"/>
      <c r="N566" s="38">
        <f t="shared" si="8"/>
        <v>0</v>
      </c>
    </row>
    <row r="567" spans="1:14" x14ac:dyDescent="0.25">
      <c r="A567" t="s">
        <v>103</v>
      </c>
      <c r="B567" s="43" t="s">
        <v>180</v>
      </c>
      <c r="C567" s="62">
        <f>VLOOKUP(B567,合并仓明细!$D$2:$F$74,3,0)</f>
        <v>170</v>
      </c>
      <c r="D567" t="s">
        <v>413</v>
      </c>
      <c r="E567" s="43" t="s">
        <v>291</v>
      </c>
      <c r="F567" t="s">
        <v>66</v>
      </c>
      <c r="G567">
        <v>258.52000000000004</v>
      </c>
      <c r="H567"/>
      <c r="N567" s="38">
        <f t="shared" si="8"/>
        <v>0</v>
      </c>
    </row>
    <row r="568" spans="1:14" x14ac:dyDescent="0.25">
      <c r="A568" t="s">
        <v>103</v>
      </c>
      <c r="B568" s="43" t="s">
        <v>180</v>
      </c>
      <c r="C568" s="62">
        <f>VLOOKUP(B568,合并仓明细!$D$2:$F$74,3,0)</f>
        <v>170</v>
      </c>
      <c r="D568" t="s">
        <v>413</v>
      </c>
      <c r="E568" s="43" t="s">
        <v>341</v>
      </c>
      <c r="F568" t="s">
        <v>68</v>
      </c>
      <c r="G568">
        <v>422.21</v>
      </c>
      <c r="H568">
        <v>0.91849000000000003</v>
      </c>
      <c r="I568" s="46">
        <f>ROUNDUP(H568/30,0)*VLOOKUP(D568,'报价表-配送'!$B$47:$I$51,8,0)</f>
        <v>0</v>
      </c>
      <c r="J568" s="37"/>
      <c r="K568" s="37"/>
      <c r="L568" s="37"/>
      <c r="M568" s="37"/>
      <c r="N568" s="38">
        <f t="shared" si="8"/>
        <v>0</v>
      </c>
    </row>
    <row r="569" spans="1:14" x14ac:dyDescent="0.25">
      <c r="A569" t="s">
        <v>103</v>
      </c>
      <c r="B569" s="43" t="s">
        <v>180</v>
      </c>
      <c r="C569" s="62">
        <f>VLOOKUP(B569,合并仓明细!$D$2:$F$74,3,0)</f>
        <v>170</v>
      </c>
      <c r="D569" t="s">
        <v>413</v>
      </c>
      <c r="E569" s="43" t="s">
        <v>341</v>
      </c>
      <c r="F569" t="s">
        <v>66</v>
      </c>
      <c r="G569">
        <v>496.28000000000003</v>
      </c>
      <c r="H569"/>
      <c r="N569" s="38">
        <f t="shared" si="8"/>
        <v>0</v>
      </c>
    </row>
    <row r="570" spans="1:14" x14ac:dyDescent="0.25">
      <c r="A570" t="s">
        <v>103</v>
      </c>
      <c r="B570" s="43" t="s">
        <v>180</v>
      </c>
      <c r="C570" s="62">
        <f>VLOOKUP(B570,合并仓明细!$D$2:$F$74,3,0)</f>
        <v>170</v>
      </c>
      <c r="D570" t="s">
        <v>413</v>
      </c>
      <c r="E570" s="43" t="s">
        <v>292</v>
      </c>
      <c r="F570" t="s">
        <v>66</v>
      </c>
      <c r="G570">
        <v>174.7</v>
      </c>
      <c r="H570">
        <v>0.17469999999999999</v>
      </c>
      <c r="L570" s="37">
        <f>IF(H570&gt;30,QUOTIENT(H570,30)*VLOOKUP(D570,'报价表-配送'!$B$47:$I$51,8,0),0)+IF(AND(MOD(H570,30)&gt;18,MOD(H570,30)&lt;=30),1,0)*VLOOKUP(D570,'报价表-配送'!$B$47:$I$51,8,0)+IF(AND(MOD(H570,30)&gt;8,MOD(H570,30)&lt;=18),1*VLOOKUP(D570,'报价表-配送'!$B$47:$I$51,7,0),0)+IF(AND(MOD(H570,30)&lt;=8,MOD(H570,30)&gt;2.5),1,0)*VLOOKUP(D570,'报价表-配送'!$B$47:$I$51,6,0)+IF(AND(MOD(H570,30)&lt;=2.5,MOD(H570,30)&gt;=1.5),1,0)*VLOOKUP(D570,'报价表-配送'!$B$47:$I$51,5,0)</f>
        <v>0</v>
      </c>
      <c r="M570" s="39">
        <f>IF(AND(MOD(H570,30)&lt;1.5,MOD(H570,30)&gt;=0.5),H570,0)*VLOOKUP(D570,'报价表-配送'!$B$47:$I$51,4,0)*1000+IF(AND(MOD(H570,30)&lt;0.5,MOD(H570,30)&gt;=0.02),H570,0)*VLOOKUP(D570,'报价表-配送'!$B$47:$I$51,3,0)*1000+IF(AND(MOD(H570,30)&lt;0.02),H570,0)*VLOOKUP(D570,'报价表-配送'!$B$47:$I$51,2,0)*1000</f>
        <v>0</v>
      </c>
      <c r="N570" s="38">
        <f t="shared" si="8"/>
        <v>0</v>
      </c>
    </row>
    <row r="571" spans="1:14" x14ac:dyDescent="0.25">
      <c r="A571" t="s">
        <v>103</v>
      </c>
      <c r="B571" s="43" t="s">
        <v>180</v>
      </c>
      <c r="C571" s="62">
        <f>VLOOKUP(B571,合并仓明细!$D$2:$F$74,3,0)</f>
        <v>170</v>
      </c>
      <c r="D571" t="s">
        <v>413</v>
      </c>
      <c r="E571" s="43" t="s">
        <v>359</v>
      </c>
      <c r="F571" t="s">
        <v>68</v>
      </c>
      <c r="G571">
        <v>9261.9500000000007</v>
      </c>
      <c r="H571">
        <v>10.087890000000002</v>
      </c>
      <c r="I571" s="46">
        <f>ROUNDUP(H571/30,0)*VLOOKUP(D571,'报价表-配送'!$B$47:$I$51,8,0)</f>
        <v>0</v>
      </c>
      <c r="J571" s="37"/>
      <c r="K571" s="37"/>
      <c r="L571" s="37"/>
      <c r="M571" s="37"/>
      <c r="N571" s="38">
        <f t="shared" si="8"/>
        <v>0</v>
      </c>
    </row>
    <row r="572" spans="1:14" x14ac:dyDescent="0.25">
      <c r="A572" t="s">
        <v>103</v>
      </c>
      <c r="B572" s="43" t="s">
        <v>180</v>
      </c>
      <c r="C572" s="62">
        <f>VLOOKUP(B572,合并仓明细!$D$2:$F$74,3,0)</f>
        <v>170</v>
      </c>
      <c r="D572" t="s">
        <v>413</v>
      </c>
      <c r="E572" s="43" t="s">
        <v>359</v>
      </c>
      <c r="F572" t="s">
        <v>66</v>
      </c>
      <c r="G572">
        <v>825.94</v>
      </c>
      <c r="H572"/>
      <c r="N572" s="38">
        <f t="shared" si="8"/>
        <v>0</v>
      </c>
    </row>
    <row r="573" spans="1:14" x14ac:dyDescent="0.25">
      <c r="A573" t="s">
        <v>103</v>
      </c>
      <c r="B573" s="43" t="s">
        <v>180</v>
      </c>
      <c r="C573" s="62">
        <f>VLOOKUP(B573,合并仓明细!$D$2:$F$74,3,0)</f>
        <v>170</v>
      </c>
      <c r="D573" t="s">
        <v>413</v>
      </c>
      <c r="E573" s="43" t="s">
        <v>358</v>
      </c>
      <c r="F573" t="s">
        <v>66</v>
      </c>
      <c r="G573">
        <v>113.6</v>
      </c>
      <c r="H573">
        <v>0.11359999999999999</v>
      </c>
      <c r="L573" s="37">
        <f>IF(H573&gt;30,QUOTIENT(H573,30)*VLOOKUP(D573,'报价表-配送'!$B$47:$I$51,8,0),0)+IF(AND(MOD(H573,30)&gt;18,MOD(H573,30)&lt;=30),1,0)*VLOOKUP(D573,'报价表-配送'!$B$47:$I$51,8,0)+IF(AND(MOD(H573,30)&gt;8,MOD(H573,30)&lt;=18),1*VLOOKUP(D573,'报价表-配送'!$B$47:$I$51,7,0),0)+IF(AND(MOD(H573,30)&lt;=8,MOD(H573,30)&gt;2.5),1,0)*VLOOKUP(D573,'报价表-配送'!$B$47:$I$51,6,0)+IF(AND(MOD(H573,30)&lt;=2.5,MOD(H573,30)&gt;=1.5),1,0)*VLOOKUP(D573,'报价表-配送'!$B$47:$I$51,5,0)</f>
        <v>0</v>
      </c>
      <c r="M573" s="39">
        <f>IF(AND(MOD(H573,30)&lt;1.5,MOD(H573,30)&gt;=0.5),H573,0)*VLOOKUP(D573,'报价表-配送'!$B$47:$I$51,4,0)*1000+IF(AND(MOD(H573,30)&lt;0.5,MOD(H573,30)&gt;=0.02),H573,0)*VLOOKUP(D573,'报价表-配送'!$B$47:$I$51,3,0)*1000+IF(AND(MOD(H573,30)&lt;0.02),H573,0)*VLOOKUP(D573,'报价表-配送'!$B$47:$I$51,2,0)*1000</f>
        <v>0</v>
      </c>
      <c r="N573" s="38">
        <f t="shared" si="8"/>
        <v>0</v>
      </c>
    </row>
    <row r="574" spans="1:14" x14ac:dyDescent="0.25">
      <c r="A574" t="s">
        <v>103</v>
      </c>
      <c r="B574" s="43" t="s">
        <v>180</v>
      </c>
      <c r="C574" s="62">
        <f>VLOOKUP(B574,合并仓明细!$D$2:$F$74,3,0)</f>
        <v>170</v>
      </c>
      <c r="D574" t="s">
        <v>413</v>
      </c>
      <c r="E574" s="43" t="s">
        <v>317</v>
      </c>
      <c r="F574" t="s">
        <v>66</v>
      </c>
      <c r="G574">
        <v>130.63</v>
      </c>
      <c r="H574">
        <v>0.13063</v>
      </c>
      <c r="I574" s="46"/>
      <c r="J574" s="37"/>
      <c r="K574" s="37"/>
      <c r="L574" s="37">
        <f>IF(H574&gt;30,QUOTIENT(H574,30)*VLOOKUP(D574,'报价表-配送'!$B$47:$I$51,8,0),0)+IF(AND(MOD(H574,30)&gt;18,MOD(H574,30)&lt;=30),1,0)*VLOOKUP(D574,'报价表-配送'!$B$47:$I$51,8,0)+IF(AND(MOD(H574,30)&gt;8,MOD(H574,30)&lt;=18),1*VLOOKUP(D574,'报价表-配送'!$B$47:$I$51,7,0),0)+IF(AND(MOD(H574,30)&lt;=8,MOD(H574,30)&gt;2.5),1,0)*VLOOKUP(D574,'报价表-配送'!$B$47:$I$51,6,0)+IF(AND(MOD(H574,30)&lt;=2.5,MOD(H574,30)&gt;=1.5),1,0)*VLOOKUP(D574,'报价表-配送'!$B$47:$I$51,5,0)</f>
        <v>0</v>
      </c>
      <c r="M574" s="39">
        <f>IF(AND(MOD(H574,30)&lt;1.5,MOD(H574,30)&gt;=0.5),H574,0)*VLOOKUP(D574,'报价表-配送'!$B$47:$I$51,4,0)*1000+IF(AND(MOD(H574,30)&lt;0.5,MOD(H574,30)&gt;=0.02),H574,0)*VLOOKUP(D574,'报价表-配送'!$B$47:$I$51,3,0)*1000+IF(AND(MOD(H574,30)&lt;0.02),H574,0)*VLOOKUP(D574,'报价表-配送'!$B$47:$I$51,2,0)*1000</f>
        <v>0</v>
      </c>
      <c r="N574" s="38">
        <f t="shared" si="8"/>
        <v>0</v>
      </c>
    </row>
    <row r="575" spans="1:14" x14ac:dyDescent="0.25">
      <c r="A575" t="s">
        <v>103</v>
      </c>
      <c r="B575" s="43" t="s">
        <v>180</v>
      </c>
      <c r="C575" s="62">
        <f>VLOOKUP(B575,合并仓明细!$D$2:$F$74,3,0)</f>
        <v>170</v>
      </c>
      <c r="D575" t="s">
        <v>413</v>
      </c>
      <c r="E575" s="43" t="s">
        <v>249</v>
      </c>
      <c r="F575" t="s">
        <v>66</v>
      </c>
      <c r="G575">
        <v>8.1</v>
      </c>
      <c r="H575">
        <v>8.0999999999999996E-3</v>
      </c>
      <c r="L575" s="37">
        <f>IF(H575&gt;30,QUOTIENT(H575,30)*VLOOKUP(D575,'报价表-配送'!$B$47:$I$51,8,0),0)+IF(AND(MOD(H575,30)&gt;18,MOD(H575,30)&lt;=30),1,0)*VLOOKUP(D575,'报价表-配送'!$B$47:$I$51,8,0)+IF(AND(MOD(H575,30)&gt;8,MOD(H575,30)&lt;=18),1*VLOOKUP(D575,'报价表-配送'!$B$47:$I$51,7,0),0)+IF(AND(MOD(H575,30)&lt;=8,MOD(H575,30)&gt;2.5),1,0)*VLOOKUP(D575,'报价表-配送'!$B$47:$I$51,6,0)+IF(AND(MOD(H575,30)&lt;=2.5,MOD(H575,30)&gt;=1.5),1,0)*VLOOKUP(D575,'报价表-配送'!$B$47:$I$51,5,0)</f>
        <v>0</v>
      </c>
      <c r="M575" s="39">
        <f>IF(AND(MOD(H575,30)&lt;1.5,MOD(H575,30)&gt;=0.5),H575,0)*VLOOKUP(D575,'报价表-配送'!$B$47:$I$51,4,0)*1000+IF(AND(MOD(H575,30)&lt;0.5,MOD(H575,30)&gt;=0.02),H575,0)*VLOOKUP(D575,'报价表-配送'!$B$47:$I$51,3,0)*1000+IF(AND(MOD(H575,30)&lt;0.02),H575,0)*VLOOKUP(D575,'报价表-配送'!$B$47:$I$51,2,0)*1000</f>
        <v>0</v>
      </c>
      <c r="N575" s="38">
        <f t="shared" si="8"/>
        <v>0</v>
      </c>
    </row>
    <row r="576" spans="1:14" x14ac:dyDescent="0.25">
      <c r="A576" t="s">
        <v>103</v>
      </c>
      <c r="B576" s="43" t="s">
        <v>180</v>
      </c>
      <c r="C576" s="62">
        <f>VLOOKUP(B576,合并仓明细!$D$2:$F$74,3,0)</f>
        <v>170</v>
      </c>
      <c r="D576" t="s">
        <v>413</v>
      </c>
      <c r="E576" s="43" t="s">
        <v>325</v>
      </c>
      <c r="F576" t="s">
        <v>67</v>
      </c>
      <c r="G576">
        <v>2733.53</v>
      </c>
      <c r="H576">
        <v>5.0335300000000007</v>
      </c>
      <c r="I576" s="38">
        <f>IF(H576&gt;30,QUOTIENT(H576,30)*VLOOKUP(D576,'报价表-配送'!$B$47:$I$51,8,0),0)+IF(AND(MOD(H576,30)&gt;18,MOD(H576,30)&lt;=30),1,0)*VLOOKUP(D576,'报价表-配送'!$B$47:$I$51,8,0)</f>
        <v>0</v>
      </c>
      <c r="J576" s="38">
        <f>IF(AND(MOD(H576,30)&gt;8,MOD(H576,30)&lt;=18),1*VLOOKUP(D576,'报价表-配送'!$B$47:$I$51,7,0),0)</f>
        <v>0</v>
      </c>
      <c r="K576" s="38">
        <f>IF(AND(MOD(H576,30)&lt;=8,MOD(H576,30)&gt;0),1,0)*VLOOKUP(D576,'报价表-配送'!$B$47:$I$51,6,0)</f>
        <v>0</v>
      </c>
      <c r="N576" s="38">
        <f t="shared" si="8"/>
        <v>0</v>
      </c>
    </row>
    <row r="577" spans="1:14" x14ac:dyDescent="0.25">
      <c r="A577" t="s">
        <v>103</v>
      </c>
      <c r="B577" s="43" t="s">
        <v>180</v>
      </c>
      <c r="C577" s="62">
        <f>VLOOKUP(B577,合并仓明细!$D$2:$F$74,3,0)</f>
        <v>170</v>
      </c>
      <c r="D577" t="s">
        <v>413</v>
      </c>
      <c r="E577" s="43" t="s">
        <v>325</v>
      </c>
      <c r="F577" t="s">
        <v>66</v>
      </c>
      <c r="G577">
        <v>2300</v>
      </c>
      <c r="H577"/>
      <c r="I577" s="46"/>
      <c r="J577" s="37"/>
      <c r="K577" s="37"/>
      <c r="L577" s="37"/>
      <c r="M577" s="37"/>
      <c r="N577" s="38">
        <f t="shared" si="8"/>
        <v>0</v>
      </c>
    </row>
    <row r="578" spans="1:14" x14ac:dyDescent="0.25">
      <c r="A578" t="s">
        <v>103</v>
      </c>
      <c r="B578" s="43" t="s">
        <v>180</v>
      </c>
      <c r="C578" s="62">
        <f>VLOOKUP(B578,合并仓明细!$D$2:$F$74,3,0)</f>
        <v>170</v>
      </c>
      <c r="D578" t="s">
        <v>413</v>
      </c>
      <c r="E578" s="43" t="s">
        <v>298</v>
      </c>
      <c r="F578" t="s">
        <v>68</v>
      </c>
      <c r="G578">
        <v>1656.05</v>
      </c>
      <c r="H578">
        <v>1.7038199999999999</v>
      </c>
      <c r="I578" s="46">
        <f>ROUNDUP(H578/30,0)*VLOOKUP(D578,'报价表-配送'!$B$47:$I$51,8,0)</f>
        <v>0</v>
      </c>
      <c r="N578" s="38">
        <f t="shared" si="8"/>
        <v>0</v>
      </c>
    </row>
    <row r="579" spans="1:14" x14ac:dyDescent="0.25">
      <c r="A579" t="s">
        <v>103</v>
      </c>
      <c r="B579" s="43" t="s">
        <v>180</v>
      </c>
      <c r="C579" s="62">
        <f>VLOOKUP(B579,合并仓明细!$D$2:$F$74,3,0)</f>
        <v>170</v>
      </c>
      <c r="D579" t="s">
        <v>413</v>
      </c>
      <c r="E579" s="43" t="s">
        <v>298</v>
      </c>
      <c r="F579" t="s">
        <v>66</v>
      </c>
      <c r="G579">
        <v>47.77</v>
      </c>
      <c r="H579"/>
      <c r="N579" s="38">
        <f t="shared" si="8"/>
        <v>0</v>
      </c>
    </row>
    <row r="580" spans="1:14" x14ac:dyDescent="0.25">
      <c r="A580" t="s">
        <v>103</v>
      </c>
      <c r="B580" s="43" t="s">
        <v>180</v>
      </c>
      <c r="C580" s="62">
        <f>VLOOKUP(B580,合并仓明细!$D$2:$F$74,3,0)</f>
        <v>170</v>
      </c>
      <c r="D580" t="s">
        <v>413</v>
      </c>
      <c r="E580" s="43" t="s">
        <v>250</v>
      </c>
      <c r="F580" t="s">
        <v>68</v>
      </c>
      <c r="G580">
        <v>384.14</v>
      </c>
      <c r="H580">
        <v>4.6995100000000001</v>
      </c>
      <c r="I580" s="46">
        <f>ROUNDUP(H580/30,0)*VLOOKUP(D580,'报价表-配送'!$B$47:$I$51,8,0)</f>
        <v>0</v>
      </c>
      <c r="J580" s="37"/>
      <c r="K580" s="37"/>
      <c r="L580" s="37"/>
      <c r="M580" s="37"/>
      <c r="N580" s="38">
        <f t="shared" si="8"/>
        <v>0</v>
      </c>
    </row>
    <row r="581" spans="1:14" x14ac:dyDescent="0.25">
      <c r="A581" t="s">
        <v>103</v>
      </c>
      <c r="B581" s="43" t="s">
        <v>180</v>
      </c>
      <c r="C581" s="62">
        <f>VLOOKUP(B581,合并仓明细!$D$2:$F$74,3,0)</f>
        <v>170</v>
      </c>
      <c r="D581" t="s">
        <v>413</v>
      </c>
      <c r="E581" s="43" t="s">
        <v>250</v>
      </c>
      <c r="F581" t="s">
        <v>67</v>
      </c>
      <c r="G581">
        <v>4012.5299999999997</v>
      </c>
      <c r="H581"/>
      <c r="N581" s="38">
        <f t="shared" si="8"/>
        <v>0</v>
      </c>
    </row>
    <row r="582" spans="1:14" x14ac:dyDescent="0.25">
      <c r="A582" t="s">
        <v>103</v>
      </c>
      <c r="B582" s="43" t="s">
        <v>180</v>
      </c>
      <c r="C582" s="62">
        <f>VLOOKUP(B582,合并仓明细!$D$2:$F$74,3,0)</f>
        <v>170</v>
      </c>
      <c r="D582" t="s">
        <v>413</v>
      </c>
      <c r="E582" s="43" t="s">
        <v>250</v>
      </c>
      <c r="F582" t="s">
        <v>66</v>
      </c>
      <c r="G582">
        <v>302.84000000000003</v>
      </c>
      <c r="H582"/>
      <c r="N582" s="38">
        <f t="shared" si="8"/>
        <v>0</v>
      </c>
    </row>
    <row r="583" spans="1:14" x14ac:dyDescent="0.25">
      <c r="A583" t="s">
        <v>103</v>
      </c>
      <c r="B583" s="43" t="s">
        <v>180</v>
      </c>
      <c r="C583" s="62">
        <f>VLOOKUP(B583,合并仓明细!$D$2:$F$74,3,0)</f>
        <v>170</v>
      </c>
      <c r="D583" t="s">
        <v>413</v>
      </c>
      <c r="E583" s="43" t="s">
        <v>318</v>
      </c>
      <c r="F583" t="s">
        <v>67</v>
      </c>
      <c r="G583">
        <v>21.94</v>
      </c>
      <c r="H583">
        <v>1.1495900000000001</v>
      </c>
      <c r="I583" s="38">
        <f>IF(H583&gt;30,QUOTIENT(H583,30)*VLOOKUP(D583,'报价表-配送'!$B$47:$I$51,8,0),0)+IF(AND(MOD(H583,30)&gt;18,MOD(H583,30)&lt;=30),1,0)*VLOOKUP(D583,'报价表-配送'!$B$47:$I$51,8,0)</f>
        <v>0</v>
      </c>
      <c r="J583" s="38">
        <f>IF(AND(MOD(H583,30)&gt;8,MOD(H583,30)&lt;=18),1*VLOOKUP(D583,'报价表-配送'!$B$47:$I$51,7,0),0)</f>
        <v>0</v>
      </c>
      <c r="K583" s="38">
        <f>IF(AND(MOD(H583,30)&lt;=8,MOD(H583,30)&gt;0),1,0)*VLOOKUP(D583,'报价表-配送'!$B$47:$I$51,6,0)</f>
        <v>0</v>
      </c>
      <c r="N583" s="38">
        <f t="shared" si="8"/>
        <v>0</v>
      </c>
    </row>
    <row r="584" spans="1:14" x14ac:dyDescent="0.25">
      <c r="A584" t="s">
        <v>103</v>
      </c>
      <c r="B584" s="43" t="s">
        <v>180</v>
      </c>
      <c r="C584" s="62">
        <f>VLOOKUP(B584,合并仓明细!$D$2:$F$74,3,0)</f>
        <v>170</v>
      </c>
      <c r="D584" t="s">
        <v>413</v>
      </c>
      <c r="E584" s="43" t="s">
        <v>318</v>
      </c>
      <c r="F584" t="s">
        <v>66</v>
      </c>
      <c r="G584">
        <v>1127.6500000000001</v>
      </c>
      <c r="H584"/>
      <c r="N584" s="38">
        <f t="shared" si="8"/>
        <v>0</v>
      </c>
    </row>
    <row r="585" spans="1:14" x14ac:dyDescent="0.25">
      <c r="A585" t="s">
        <v>103</v>
      </c>
      <c r="B585" s="43" t="s">
        <v>180</v>
      </c>
      <c r="C585" s="62">
        <f>VLOOKUP(B585,合并仓明细!$D$2:$F$74,3,0)</f>
        <v>170</v>
      </c>
      <c r="D585" t="s">
        <v>413</v>
      </c>
      <c r="E585" s="43" t="s">
        <v>350</v>
      </c>
      <c r="F585" t="s">
        <v>68</v>
      </c>
      <c r="G585">
        <v>1187.1499999999999</v>
      </c>
      <c r="H585">
        <v>4.4715299999999996</v>
      </c>
      <c r="I585" s="46">
        <f>ROUNDUP(H585/30,0)*VLOOKUP(D585,'报价表-配送'!$B$47:$I$51,8,0)</f>
        <v>0</v>
      </c>
      <c r="J585" s="37"/>
      <c r="K585" s="37"/>
      <c r="L585" s="37"/>
      <c r="M585" s="37"/>
      <c r="N585" s="38">
        <f t="shared" si="8"/>
        <v>0</v>
      </c>
    </row>
    <row r="586" spans="1:14" x14ac:dyDescent="0.25">
      <c r="A586" t="s">
        <v>103</v>
      </c>
      <c r="B586" s="43" t="s">
        <v>180</v>
      </c>
      <c r="C586" s="62">
        <f>VLOOKUP(B586,合并仓明细!$D$2:$F$74,3,0)</f>
        <v>170</v>
      </c>
      <c r="D586" t="s">
        <v>413</v>
      </c>
      <c r="E586" s="43" t="s">
        <v>350</v>
      </c>
      <c r="F586" t="s">
        <v>67</v>
      </c>
      <c r="G586">
        <v>2304.3000000000002</v>
      </c>
      <c r="H586"/>
      <c r="N586" s="38">
        <f t="shared" si="8"/>
        <v>0</v>
      </c>
    </row>
    <row r="587" spans="1:14" x14ac:dyDescent="0.25">
      <c r="A587" t="s">
        <v>103</v>
      </c>
      <c r="B587" s="43" t="s">
        <v>180</v>
      </c>
      <c r="C587" s="62">
        <f>VLOOKUP(B587,合并仓明细!$D$2:$F$74,3,0)</f>
        <v>170</v>
      </c>
      <c r="D587" t="s">
        <v>413</v>
      </c>
      <c r="E587" s="43" t="s">
        <v>350</v>
      </c>
      <c r="F587" t="s">
        <v>66</v>
      </c>
      <c r="G587">
        <v>980.08</v>
      </c>
      <c r="H587"/>
      <c r="N587" s="38">
        <f t="shared" si="8"/>
        <v>0</v>
      </c>
    </row>
    <row r="588" spans="1:14" x14ac:dyDescent="0.25">
      <c r="A588" t="s">
        <v>103</v>
      </c>
      <c r="B588" s="43" t="s">
        <v>180</v>
      </c>
      <c r="C588" s="62">
        <f>VLOOKUP(B588,合并仓明细!$D$2:$F$74,3,0)</f>
        <v>170</v>
      </c>
      <c r="D588" t="s">
        <v>413</v>
      </c>
      <c r="E588" s="43" t="s">
        <v>299</v>
      </c>
      <c r="F588" t="s">
        <v>66</v>
      </c>
      <c r="G588">
        <v>20.100000000000001</v>
      </c>
      <c r="H588">
        <v>2.01E-2</v>
      </c>
      <c r="I588" s="46"/>
      <c r="J588" s="37"/>
      <c r="K588" s="37"/>
      <c r="L588" s="37">
        <f>IF(H588&gt;30,QUOTIENT(H588,30)*VLOOKUP(D588,'报价表-配送'!$B$47:$I$51,8,0),0)+IF(AND(MOD(H588,30)&gt;18,MOD(H588,30)&lt;=30),1,0)*VLOOKUP(D588,'报价表-配送'!$B$47:$I$51,8,0)+IF(AND(MOD(H588,30)&gt;8,MOD(H588,30)&lt;=18),1*VLOOKUP(D588,'报价表-配送'!$B$47:$I$51,7,0),0)+IF(AND(MOD(H588,30)&lt;=8,MOD(H588,30)&gt;2.5),1,0)*VLOOKUP(D588,'报价表-配送'!$B$47:$I$51,6,0)+IF(AND(MOD(H588,30)&lt;=2.5,MOD(H588,30)&gt;=1.5),1,0)*VLOOKUP(D588,'报价表-配送'!$B$47:$I$51,5,0)</f>
        <v>0</v>
      </c>
      <c r="M588" s="39">
        <f>IF(AND(MOD(H588,30)&lt;1.5,MOD(H588,30)&gt;=0.5),H588,0)*VLOOKUP(D588,'报价表-配送'!$B$47:$I$51,4,0)*1000+IF(AND(MOD(H588,30)&lt;0.5,MOD(H588,30)&gt;=0.02),H588,0)*VLOOKUP(D588,'报价表-配送'!$B$47:$I$51,3,0)*1000+IF(AND(MOD(H588,30)&lt;0.02),H588,0)*VLOOKUP(D588,'报价表-配送'!$B$47:$I$51,2,0)*1000</f>
        <v>0</v>
      </c>
      <c r="N588" s="38">
        <f t="shared" si="8"/>
        <v>0</v>
      </c>
    </row>
    <row r="589" spans="1:14" x14ac:dyDescent="0.25">
      <c r="A589" t="s">
        <v>103</v>
      </c>
      <c r="B589" s="43" t="s">
        <v>180</v>
      </c>
      <c r="C589" s="62">
        <f>VLOOKUP(B589,合并仓明细!$D$2:$F$74,3,0)</f>
        <v>170</v>
      </c>
      <c r="D589" t="s">
        <v>413</v>
      </c>
      <c r="E589" s="43" t="s">
        <v>327</v>
      </c>
      <c r="F589" t="s">
        <v>67</v>
      </c>
      <c r="G589">
        <v>2639.92</v>
      </c>
      <c r="H589">
        <v>2.63992</v>
      </c>
      <c r="I589" s="38">
        <f>IF(H589&gt;30,QUOTIENT(H589,30)*VLOOKUP(D589,'报价表-配送'!$B$47:$I$51,8,0),0)+IF(AND(MOD(H589,30)&gt;18,MOD(H589,30)&lt;=30),1,0)*VLOOKUP(D589,'报价表-配送'!$B$47:$I$51,8,0)</f>
        <v>0</v>
      </c>
      <c r="J589" s="38">
        <f>IF(AND(MOD(H589,30)&gt;8,MOD(H589,30)&lt;=18),1*VLOOKUP(D589,'报价表-配送'!$B$47:$I$51,7,0),0)</f>
        <v>0</v>
      </c>
      <c r="K589" s="38">
        <f>IF(AND(MOD(H589,30)&lt;=8,MOD(H589,30)&gt;0),1,0)*VLOOKUP(D589,'报价表-配送'!$B$47:$I$51,6,0)</f>
        <v>0</v>
      </c>
      <c r="N589" s="38">
        <f t="shared" si="8"/>
        <v>0</v>
      </c>
    </row>
    <row r="590" spans="1:14" x14ac:dyDescent="0.25">
      <c r="A590" t="s">
        <v>103</v>
      </c>
      <c r="B590" s="43" t="s">
        <v>180</v>
      </c>
      <c r="C590" s="62">
        <f>VLOOKUP(B590,合并仓明细!$D$2:$F$74,3,0)</f>
        <v>170</v>
      </c>
      <c r="D590" t="s">
        <v>413</v>
      </c>
      <c r="E590" s="43" t="s">
        <v>343</v>
      </c>
      <c r="F590" t="s">
        <v>67</v>
      </c>
      <c r="G590">
        <v>39</v>
      </c>
      <c r="H590">
        <v>0.23007</v>
      </c>
      <c r="I590" s="38">
        <f>IF(H590&gt;30,QUOTIENT(H590,30)*VLOOKUP(D590,'报价表-配送'!$B$47:$I$51,8,0),0)+IF(AND(MOD(H590,30)&gt;18,MOD(H590,30)&lt;=30),1,0)*VLOOKUP(D590,'报价表-配送'!$B$47:$I$51,8,0)</f>
        <v>0</v>
      </c>
      <c r="J590" s="38">
        <f>IF(AND(MOD(H590,30)&gt;8,MOD(H590,30)&lt;=18),1*VLOOKUP(D590,'报价表-配送'!$B$47:$I$51,7,0),0)</f>
        <v>0</v>
      </c>
      <c r="K590" s="38">
        <f>IF(AND(MOD(H590,30)&lt;=8,MOD(H590,30)&gt;0),1,0)*VLOOKUP(D590,'报价表-配送'!$B$47:$I$51,6,0)</f>
        <v>0</v>
      </c>
      <c r="N590" s="38">
        <f t="shared" si="8"/>
        <v>0</v>
      </c>
    </row>
    <row r="591" spans="1:14" x14ac:dyDescent="0.25">
      <c r="A591" t="s">
        <v>103</v>
      </c>
      <c r="B591" s="43" t="s">
        <v>180</v>
      </c>
      <c r="C591" s="62">
        <f>VLOOKUP(B591,合并仓明细!$D$2:$F$74,3,0)</f>
        <v>170</v>
      </c>
      <c r="D591" t="s">
        <v>413</v>
      </c>
      <c r="E591" s="43" t="s">
        <v>343</v>
      </c>
      <c r="F591" t="s">
        <v>66</v>
      </c>
      <c r="G591">
        <v>191.07</v>
      </c>
      <c r="H591"/>
      <c r="I591" s="46"/>
      <c r="J591" s="37"/>
      <c r="K591" s="37"/>
      <c r="L591" s="37"/>
      <c r="M591" s="37"/>
      <c r="N591" s="38">
        <f t="shared" si="8"/>
        <v>0</v>
      </c>
    </row>
    <row r="592" spans="1:14" x14ac:dyDescent="0.25">
      <c r="A592" t="s">
        <v>103</v>
      </c>
      <c r="B592" s="43" t="s">
        <v>180</v>
      </c>
      <c r="C592" s="62">
        <f>VLOOKUP(B592,合并仓明细!$D$2:$F$74,3,0)</f>
        <v>170</v>
      </c>
      <c r="D592" t="s">
        <v>413</v>
      </c>
      <c r="E592" s="43" t="s">
        <v>360</v>
      </c>
      <c r="F592" t="s">
        <v>66</v>
      </c>
      <c r="G592">
        <v>21.700000000000003</v>
      </c>
      <c r="H592">
        <v>2.1700000000000004E-2</v>
      </c>
      <c r="L592" s="37">
        <f>IF(H592&gt;30,QUOTIENT(H592,30)*VLOOKUP(D592,'报价表-配送'!$B$47:$I$51,8,0),0)+IF(AND(MOD(H592,30)&gt;18,MOD(H592,30)&lt;=30),1,0)*VLOOKUP(D592,'报价表-配送'!$B$47:$I$51,8,0)+IF(AND(MOD(H592,30)&gt;8,MOD(H592,30)&lt;=18),1*VLOOKUP(D592,'报价表-配送'!$B$47:$I$51,7,0),0)+IF(AND(MOD(H592,30)&lt;=8,MOD(H592,30)&gt;2.5),1,0)*VLOOKUP(D592,'报价表-配送'!$B$47:$I$51,6,0)+IF(AND(MOD(H592,30)&lt;=2.5,MOD(H592,30)&gt;=1.5),1,0)*VLOOKUP(D592,'报价表-配送'!$B$47:$I$51,5,0)</f>
        <v>0</v>
      </c>
      <c r="M592" s="39">
        <f>IF(AND(MOD(H592,30)&lt;1.5,MOD(H592,30)&gt;=0.5),H592,0)*VLOOKUP(D592,'报价表-配送'!$B$47:$I$51,4,0)*1000+IF(AND(MOD(H592,30)&lt;0.5,MOD(H592,30)&gt;=0.02),H592,0)*VLOOKUP(D592,'报价表-配送'!$B$47:$I$51,3,0)*1000+IF(AND(MOD(H592,30)&lt;0.02),H592,0)*VLOOKUP(D592,'报价表-配送'!$B$47:$I$51,2,0)*1000</f>
        <v>0</v>
      </c>
      <c r="N592" s="38">
        <f t="shared" si="8"/>
        <v>0</v>
      </c>
    </row>
    <row r="593" spans="1:14" x14ac:dyDescent="0.25">
      <c r="A593" t="s">
        <v>103</v>
      </c>
      <c r="B593" s="43" t="s">
        <v>180</v>
      </c>
      <c r="C593" s="62">
        <f>VLOOKUP(B593,合并仓明细!$D$2:$F$74,3,0)</f>
        <v>170</v>
      </c>
      <c r="D593" t="s">
        <v>413</v>
      </c>
      <c r="E593" s="43" t="s">
        <v>357</v>
      </c>
      <c r="F593" t="s">
        <v>66</v>
      </c>
      <c r="G593">
        <v>180.98</v>
      </c>
      <c r="H593">
        <v>0.18098</v>
      </c>
      <c r="L593" s="37">
        <f>IF(H593&gt;30,QUOTIENT(H593,30)*VLOOKUP(D593,'报价表-配送'!$B$47:$I$51,8,0),0)+IF(AND(MOD(H593,30)&gt;18,MOD(H593,30)&lt;=30),1,0)*VLOOKUP(D593,'报价表-配送'!$B$47:$I$51,8,0)+IF(AND(MOD(H593,30)&gt;8,MOD(H593,30)&lt;=18),1*VLOOKUP(D593,'报价表-配送'!$B$47:$I$51,7,0),0)+IF(AND(MOD(H593,30)&lt;=8,MOD(H593,30)&gt;2.5),1,0)*VLOOKUP(D593,'报价表-配送'!$B$47:$I$51,6,0)+IF(AND(MOD(H593,30)&lt;=2.5,MOD(H593,30)&gt;=1.5),1,0)*VLOOKUP(D593,'报价表-配送'!$B$47:$I$51,5,0)</f>
        <v>0</v>
      </c>
      <c r="M593" s="39">
        <f>IF(AND(MOD(H593,30)&lt;1.5,MOD(H593,30)&gt;=0.5),H593,0)*VLOOKUP(D593,'报价表-配送'!$B$47:$I$51,4,0)*1000+IF(AND(MOD(H593,30)&lt;0.5,MOD(H593,30)&gt;=0.02),H593,0)*VLOOKUP(D593,'报价表-配送'!$B$47:$I$51,3,0)*1000+IF(AND(MOD(H593,30)&lt;0.02),H593,0)*VLOOKUP(D593,'报价表-配送'!$B$47:$I$51,2,0)*1000</f>
        <v>0</v>
      </c>
      <c r="N593" s="38">
        <f t="shared" si="8"/>
        <v>0</v>
      </c>
    </row>
    <row r="594" spans="1:14" x14ac:dyDescent="0.25">
      <c r="A594" t="s">
        <v>103</v>
      </c>
      <c r="B594" s="43" t="s">
        <v>180</v>
      </c>
      <c r="C594" s="62">
        <f>VLOOKUP(B594,合并仓明细!$D$2:$F$74,3,0)</f>
        <v>170</v>
      </c>
      <c r="D594" t="s">
        <v>413</v>
      </c>
      <c r="E594" s="43" t="s">
        <v>320</v>
      </c>
      <c r="F594" t="s">
        <v>67</v>
      </c>
      <c r="G594">
        <v>0</v>
      </c>
      <c r="H594">
        <v>0.40053</v>
      </c>
      <c r="I594" s="38">
        <f>IF(H594&gt;30,QUOTIENT(H594,30)*VLOOKUP(D594,'报价表-配送'!$B$47:$I$51,8,0),0)+IF(AND(MOD(H594,30)&gt;18,MOD(H594,30)&lt;=30),1,0)*VLOOKUP(D594,'报价表-配送'!$B$47:$I$51,8,0)</f>
        <v>0</v>
      </c>
      <c r="J594" s="38">
        <f>IF(AND(MOD(H594,30)&gt;8,MOD(H594,30)&lt;=18),1*VLOOKUP(D594,'报价表-配送'!$B$47:$I$51,7,0),0)</f>
        <v>0</v>
      </c>
      <c r="K594" s="38">
        <f>IF(AND(MOD(H594,30)&lt;=8,MOD(H594,30)&gt;0),1,0)*VLOOKUP(D594,'报价表-配送'!$B$47:$I$51,6,0)</f>
        <v>0</v>
      </c>
      <c r="L594" s="37"/>
      <c r="M594" s="37"/>
      <c r="N594" s="38">
        <f t="shared" ref="N594:N657" si="9">SUM(I594:M594)</f>
        <v>0</v>
      </c>
    </row>
    <row r="595" spans="1:14" x14ac:dyDescent="0.25">
      <c r="A595" t="s">
        <v>103</v>
      </c>
      <c r="B595" s="43" t="s">
        <v>180</v>
      </c>
      <c r="C595" s="62">
        <f>VLOOKUP(B595,合并仓明细!$D$2:$F$74,3,0)</f>
        <v>170</v>
      </c>
      <c r="D595" t="s">
        <v>413</v>
      </c>
      <c r="E595" s="43" t="s">
        <v>320</v>
      </c>
      <c r="F595" t="s">
        <v>66</v>
      </c>
      <c r="G595">
        <v>400.53</v>
      </c>
      <c r="H595"/>
      <c r="N595" s="38">
        <f t="shared" si="9"/>
        <v>0</v>
      </c>
    </row>
    <row r="596" spans="1:14" x14ac:dyDescent="0.25">
      <c r="A596" t="s">
        <v>103</v>
      </c>
      <c r="B596" s="43" t="s">
        <v>180</v>
      </c>
      <c r="C596" s="62">
        <f>VLOOKUP(B596,合并仓明细!$D$2:$F$74,3,0)</f>
        <v>170</v>
      </c>
      <c r="D596" t="s">
        <v>413</v>
      </c>
      <c r="E596" s="43" t="s">
        <v>300</v>
      </c>
      <c r="F596" t="s">
        <v>67</v>
      </c>
      <c r="G596">
        <v>372.72</v>
      </c>
      <c r="H596">
        <v>0.37272000000000005</v>
      </c>
      <c r="I596" s="38">
        <f>IF(H596&gt;30,QUOTIENT(H596,30)*VLOOKUP(D596,'报价表-配送'!$B$47:$I$51,8,0),0)+IF(AND(MOD(H596,30)&gt;18,MOD(H596,30)&lt;=30),1,0)*VLOOKUP(D596,'报价表-配送'!$B$47:$I$51,8,0)</f>
        <v>0</v>
      </c>
      <c r="J596" s="38">
        <f>IF(AND(MOD(H596,30)&gt;8,MOD(H596,30)&lt;=18),1*VLOOKUP(D596,'报价表-配送'!$B$47:$I$51,7,0),0)</f>
        <v>0</v>
      </c>
      <c r="K596" s="38">
        <f>IF(AND(MOD(H596,30)&lt;=8,MOD(H596,30)&gt;0),1,0)*VLOOKUP(D596,'报价表-配送'!$B$47:$I$51,6,0)</f>
        <v>0</v>
      </c>
      <c r="N596" s="38">
        <f t="shared" si="9"/>
        <v>0</v>
      </c>
    </row>
    <row r="597" spans="1:14" x14ac:dyDescent="0.25">
      <c r="A597" t="s">
        <v>103</v>
      </c>
      <c r="B597" s="43" t="s">
        <v>180</v>
      </c>
      <c r="C597" s="62">
        <f>VLOOKUP(B597,合并仓明细!$D$2:$F$74,3,0)</f>
        <v>170</v>
      </c>
      <c r="D597" t="s">
        <v>413</v>
      </c>
      <c r="E597" s="43" t="s">
        <v>321</v>
      </c>
      <c r="F597" t="s">
        <v>68</v>
      </c>
      <c r="G597">
        <v>180.77</v>
      </c>
      <c r="H597">
        <v>0.20989000000000002</v>
      </c>
      <c r="I597" s="46">
        <f>ROUNDUP(H597/30,0)*VLOOKUP(D597,'报价表-配送'!$B$47:$I$51,8,0)</f>
        <v>0</v>
      </c>
      <c r="J597" s="37"/>
      <c r="K597" s="37"/>
      <c r="L597" s="37"/>
      <c r="M597" s="37"/>
      <c r="N597" s="38">
        <f t="shared" si="9"/>
        <v>0</v>
      </c>
    </row>
    <row r="598" spans="1:14" x14ac:dyDescent="0.25">
      <c r="A598" t="s">
        <v>103</v>
      </c>
      <c r="B598" s="43" t="s">
        <v>180</v>
      </c>
      <c r="C598" s="62">
        <f>VLOOKUP(B598,合并仓明细!$D$2:$F$74,3,0)</f>
        <v>170</v>
      </c>
      <c r="D598" t="s">
        <v>413</v>
      </c>
      <c r="E598" s="43" t="s">
        <v>321</v>
      </c>
      <c r="F598" t="s">
        <v>66</v>
      </c>
      <c r="G598">
        <v>29.12</v>
      </c>
      <c r="H598"/>
      <c r="N598" s="38">
        <f t="shared" si="9"/>
        <v>0</v>
      </c>
    </row>
    <row r="599" spans="1:14" x14ac:dyDescent="0.25">
      <c r="A599" t="s">
        <v>103</v>
      </c>
      <c r="B599" s="43" t="s">
        <v>180</v>
      </c>
      <c r="C599" s="62">
        <f>VLOOKUP(B599,合并仓明细!$D$2:$F$74,3,0)</f>
        <v>170</v>
      </c>
      <c r="D599" t="s">
        <v>413</v>
      </c>
      <c r="E599" s="43" t="s">
        <v>365</v>
      </c>
      <c r="F599" t="s">
        <v>67</v>
      </c>
      <c r="G599">
        <v>2707.28</v>
      </c>
      <c r="H599">
        <v>2.7072800000000004</v>
      </c>
      <c r="I599" s="38">
        <f>IF(H599&gt;30,QUOTIENT(H599,30)*VLOOKUP(D599,'报价表-配送'!$B$47:$I$51,8,0),0)+IF(AND(MOD(H599,30)&gt;18,MOD(H599,30)&lt;=30),1,0)*VLOOKUP(D599,'报价表-配送'!$B$47:$I$51,8,0)</f>
        <v>0</v>
      </c>
      <c r="J599" s="38">
        <f>IF(AND(MOD(H599,30)&gt;8,MOD(H599,30)&lt;=18),1*VLOOKUP(D599,'报价表-配送'!$B$47:$I$51,7,0),0)</f>
        <v>0</v>
      </c>
      <c r="K599" s="38">
        <f>IF(AND(MOD(H599,30)&lt;=8,MOD(H599,30)&gt;0),1,0)*VLOOKUP(D599,'报价表-配送'!$B$47:$I$51,6,0)</f>
        <v>0</v>
      </c>
      <c r="N599" s="38">
        <f t="shared" si="9"/>
        <v>0</v>
      </c>
    </row>
    <row r="600" spans="1:14" x14ac:dyDescent="0.25">
      <c r="A600" t="s">
        <v>103</v>
      </c>
      <c r="B600" s="43" t="s">
        <v>180</v>
      </c>
      <c r="C600" s="62">
        <f>VLOOKUP(B600,合并仓明细!$D$2:$F$74,3,0)</f>
        <v>170</v>
      </c>
      <c r="D600" t="s">
        <v>413</v>
      </c>
      <c r="E600" s="43" t="s">
        <v>365</v>
      </c>
      <c r="F600" t="s">
        <v>66</v>
      </c>
      <c r="G600">
        <v>0</v>
      </c>
      <c r="H600"/>
      <c r="I600" s="46"/>
      <c r="J600" s="37"/>
      <c r="K600" s="37"/>
      <c r="L600" s="37"/>
      <c r="M600" s="37"/>
      <c r="N600" s="38">
        <f t="shared" si="9"/>
        <v>0</v>
      </c>
    </row>
    <row r="601" spans="1:14" x14ac:dyDescent="0.25">
      <c r="A601" t="s">
        <v>103</v>
      </c>
      <c r="B601" s="43" t="s">
        <v>180</v>
      </c>
      <c r="C601" s="62">
        <f>VLOOKUP(B601,合并仓明细!$D$2:$F$74,3,0)</f>
        <v>170</v>
      </c>
      <c r="D601" t="s">
        <v>413</v>
      </c>
      <c r="E601" s="43" t="s">
        <v>252</v>
      </c>
      <c r="F601" t="s">
        <v>67</v>
      </c>
      <c r="G601">
        <v>5427.6900000000005</v>
      </c>
      <c r="H601">
        <v>5.7156900000000004</v>
      </c>
      <c r="I601" s="38">
        <f>IF(H601&gt;30,QUOTIENT(H601,30)*VLOOKUP(D601,'报价表-配送'!$B$47:$I$51,8,0),0)+IF(AND(MOD(H601,30)&gt;18,MOD(H601,30)&lt;=30),1,0)*VLOOKUP(D601,'报价表-配送'!$B$47:$I$51,8,0)</f>
        <v>0</v>
      </c>
      <c r="J601" s="38">
        <f>IF(AND(MOD(H601,30)&gt;8,MOD(H601,30)&lt;=18),1*VLOOKUP(D601,'报价表-配送'!$B$47:$I$51,7,0),0)</f>
        <v>0</v>
      </c>
      <c r="K601" s="38">
        <f>IF(AND(MOD(H601,30)&lt;=8,MOD(H601,30)&gt;0),1,0)*VLOOKUP(D601,'报价表-配送'!$B$47:$I$51,6,0)</f>
        <v>0</v>
      </c>
      <c r="N601" s="38">
        <f t="shared" si="9"/>
        <v>0</v>
      </c>
    </row>
    <row r="602" spans="1:14" x14ac:dyDescent="0.25">
      <c r="A602" t="s">
        <v>103</v>
      </c>
      <c r="B602" s="43" t="s">
        <v>180</v>
      </c>
      <c r="C602" s="62">
        <f>VLOOKUP(B602,合并仓明细!$D$2:$F$74,3,0)</f>
        <v>170</v>
      </c>
      <c r="D602" t="s">
        <v>413</v>
      </c>
      <c r="E602" s="43" t="s">
        <v>252</v>
      </c>
      <c r="F602" t="s">
        <v>66</v>
      </c>
      <c r="G602">
        <v>288</v>
      </c>
      <c r="H602"/>
      <c r="N602" s="38">
        <f t="shared" si="9"/>
        <v>0</v>
      </c>
    </row>
    <row r="603" spans="1:14" x14ac:dyDescent="0.25">
      <c r="A603" t="s">
        <v>103</v>
      </c>
      <c r="B603" s="43" t="s">
        <v>180</v>
      </c>
      <c r="C603" s="62">
        <f>VLOOKUP(B603,合并仓明细!$D$2:$F$74,3,0)</f>
        <v>170</v>
      </c>
      <c r="D603" t="s">
        <v>413</v>
      </c>
      <c r="E603" s="43" t="s">
        <v>304</v>
      </c>
      <c r="F603" t="s">
        <v>66</v>
      </c>
      <c r="G603">
        <v>734.61</v>
      </c>
      <c r="H603">
        <v>0.73460999999999999</v>
      </c>
      <c r="I603" s="46"/>
      <c r="J603" s="37"/>
      <c r="K603" s="37"/>
      <c r="L603" s="37">
        <f>IF(H603&gt;30,QUOTIENT(H603,30)*VLOOKUP(D603,'报价表-配送'!$B$47:$I$51,8,0),0)+IF(AND(MOD(H603,30)&gt;18,MOD(H603,30)&lt;=30),1,0)*VLOOKUP(D603,'报价表-配送'!$B$47:$I$51,8,0)+IF(AND(MOD(H603,30)&gt;8,MOD(H603,30)&lt;=18),1*VLOOKUP(D603,'报价表-配送'!$B$47:$I$51,7,0),0)+IF(AND(MOD(H603,30)&lt;=8,MOD(H603,30)&gt;2.5),1,0)*VLOOKUP(D603,'报价表-配送'!$B$47:$I$51,6,0)+IF(AND(MOD(H603,30)&lt;=2.5,MOD(H603,30)&gt;=1.5),1,0)*VLOOKUP(D603,'报价表-配送'!$B$47:$I$51,5,0)</f>
        <v>0</v>
      </c>
      <c r="M603" s="39">
        <f>IF(AND(MOD(H603,30)&lt;1.5,MOD(H603,30)&gt;=0.5),H603,0)*VLOOKUP(D603,'报价表-配送'!$B$47:$I$51,4,0)*1000+IF(AND(MOD(H603,30)&lt;0.5,MOD(H603,30)&gt;=0.02),H603,0)*VLOOKUP(D603,'报价表-配送'!$B$47:$I$51,3,0)*1000+IF(AND(MOD(H603,30)&lt;0.02),H603,0)*VLOOKUP(D603,'报价表-配送'!$B$47:$I$51,2,0)*1000</f>
        <v>0</v>
      </c>
      <c r="N603" s="38">
        <f t="shared" si="9"/>
        <v>0</v>
      </c>
    </row>
    <row r="604" spans="1:14" x14ac:dyDescent="0.25">
      <c r="A604" t="s">
        <v>103</v>
      </c>
      <c r="B604" s="43" t="s">
        <v>180</v>
      </c>
      <c r="C604" s="62">
        <f>VLOOKUP(B604,合并仓明细!$D$2:$F$74,3,0)</f>
        <v>170</v>
      </c>
      <c r="D604" t="s">
        <v>413</v>
      </c>
      <c r="E604" s="43" t="s">
        <v>356</v>
      </c>
      <c r="F604" t="s">
        <v>67</v>
      </c>
      <c r="G604">
        <v>2707.29</v>
      </c>
      <c r="H604">
        <v>2.7520500000000001</v>
      </c>
      <c r="I604" s="38">
        <f>IF(H604&gt;30,QUOTIENT(H604,30)*VLOOKUP(D604,'报价表-配送'!$B$47:$I$51,8,0),0)+IF(AND(MOD(H604,30)&gt;18,MOD(H604,30)&lt;=30),1,0)*VLOOKUP(D604,'报价表-配送'!$B$47:$I$51,8,0)</f>
        <v>0</v>
      </c>
      <c r="J604" s="38">
        <f>IF(AND(MOD(H604,30)&gt;8,MOD(H604,30)&lt;=18),1*VLOOKUP(D604,'报价表-配送'!$B$47:$I$51,7,0),0)</f>
        <v>0</v>
      </c>
      <c r="K604" s="38">
        <f>IF(AND(MOD(H604,30)&lt;=8,MOD(H604,30)&gt;0),1,0)*VLOOKUP(D604,'报价表-配送'!$B$47:$I$51,6,0)</f>
        <v>0</v>
      </c>
      <c r="N604" s="38">
        <f t="shared" si="9"/>
        <v>0</v>
      </c>
    </row>
    <row r="605" spans="1:14" x14ac:dyDescent="0.25">
      <c r="A605" t="s">
        <v>103</v>
      </c>
      <c r="B605" s="43" t="s">
        <v>180</v>
      </c>
      <c r="C605" s="62">
        <f>VLOOKUP(B605,合并仓明细!$D$2:$F$74,3,0)</f>
        <v>170</v>
      </c>
      <c r="D605" t="s">
        <v>413</v>
      </c>
      <c r="E605" s="43" t="s">
        <v>356</v>
      </c>
      <c r="F605" t="s">
        <v>66</v>
      </c>
      <c r="G605">
        <v>44.76</v>
      </c>
      <c r="H605"/>
      <c r="N605" s="38">
        <f t="shared" si="9"/>
        <v>0</v>
      </c>
    </row>
    <row r="606" spans="1:14" x14ac:dyDescent="0.25">
      <c r="A606" t="s">
        <v>103</v>
      </c>
      <c r="B606" s="43" t="s">
        <v>180</v>
      </c>
      <c r="C606" s="62">
        <f>VLOOKUP(B606,合并仓明细!$D$2:$F$74,3,0)</f>
        <v>170</v>
      </c>
      <c r="D606" t="s">
        <v>413</v>
      </c>
      <c r="E606" s="43" t="s">
        <v>328</v>
      </c>
      <c r="F606" t="s">
        <v>66</v>
      </c>
      <c r="G606">
        <v>51.2</v>
      </c>
      <c r="H606">
        <v>5.1200000000000002E-2</v>
      </c>
      <c r="I606" s="46"/>
      <c r="J606" s="37"/>
      <c r="K606" s="37"/>
      <c r="L606" s="37">
        <f>IF(H606&gt;30,QUOTIENT(H606,30)*VLOOKUP(D606,'报价表-配送'!$B$47:$I$51,8,0),0)+IF(AND(MOD(H606,30)&gt;18,MOD(H606,30)&lt;=30),1,0)*VLOOKUP(D606,'报价表-配送'!$B$47:$I$51,8,0)+IF(AND(MOD(H606,30)&gt;8,MOD(H606,30)&lt;=18),1*VLOOKUP(D606,'报价表-配送'!$B$47:$I$51,7,0),0)+IF(AND(MOD(H606,30)&lt;=8,MOD(H606,30)&gt;2.5),1,0)*VLOOKUP(D606,'报价表-配送'!$B$47:$I$51,6,0)+IF(AND(MOD(H606,30)&lt;=2.5,MOD(H606,30)&gt;=1.5),1,0)*VLOOKUP(D606,'报价表-配送'!$B$47:$I$51,5,0)</f>
        <v>0</v>
      </c>
      <c r="M606" s="39">
        <f>IF(AND(MOD(H606,30)&lt;1.5,MOD(H606,30)&gt;=0.5),H606,0)*VLOOKUP(D606,'报价表-配送'!$B$47:$I$51,4,0)*1000+IF(AND(MOD(H606,30)&lt;0.5,MOD(H606,30)&gt;=0.02),H606,0)*VLOOKUP(D606,'报价表-配送'!$B$47:$I$51,3,0)*1000+IF(AND(MOD(H606,30)&lt;0.02),H606,0)*VLOOKUP(D606,'报价表-配送'!$B$47:$I$51,2,0)*1000</f>
        <v>0</v>
      </c>
      <c r="N606" s="38">
        <f t="shared" si="9"/>
        <v>0</v>
      </c>
    </row>
    <row r="607" spans="1:14" x14ac:dyDescent="0.25">
      <c r="A607" t="s">
        <v>103</v>
      </c>
      <c r="B607" s="43" t="s">
        <v>180</v>
      </c>
      <c r="C607" s="62">
        <f>VLOOKUP(B607,合并仓明细!$D$2:$F$74,3,0)</f>
        <v>170</v>
      </c>
      <c r="D607" t="s">
        <v>413</v>
      </c>
      <c r="E607" s="43" t="s">
        <v>254</v>
      </c>
      <c r="F607" t="s">
        <v>66</v>
      </c>
      <c r="G607">
        <v>8</v>
      </c>
      <c r="H607">
        <v>8.0000000000000002E-3</v>
      </c>
      <c r="L607" s="37">
        <f>IF(H607&gt;30,QUOTIENT(H607,30)*VLOOKUP(D607,'报价表-配送'!$B$47:$I$51,8,0),0)+IF(AND(MOD(H607,30)&gt;18,MOD(H607,30)&lt;=30),1,0)*VLOOKUP(D607,'报价表-配送'!$B$47:$I$51,8,0)+IF(AND(MOD(H607,30)&gt;8,MOD(H607,30)&lt;=18),1*VLOOKUP(D607,'报价表-配送'!$B$47:$I$51,7,0),0)+IF(AND(MOD(H607,30)&lt;=8,MOD(H607,30)&gt;2.5),1,0)*VLOOKUP(D607,'报价表-配送'!$B$47:$I$51,6,0)+IF(AND(MOD(H607,30)&lt;=2.5,MOD(H607,30)&gt;=1.5),1,0)*VLOOKUP(D607,'报价表-配送'!$B$47:$I$51,5,0)</f>
        <v>0</v>
      </c>
      <c r="M607" s="39">
        <f>IF(AND(MOD(H607,30)&lt;1.5,MOD(H607,30)&gt;=0.5),H607,0)*VLOOKUP(D607,'报价表-配送'!$B$47:$I$51,4,0)*1000+IF(AND(MOD(H607,30)&lt;0.5,MOD(H607,30)&gt;=0.02),H607,0)*VLOOKUP(D607,'报价表-配送'!$B$47:$I$51,3,0)*1000+IF(AND(MOD(H607,30)&lt;0.02),H607,0)*VLOOKUP(D607,'报价表-配送'!$B$47:$I$51,2,0)*1000</f>
        <v>0</v>
      </c>
      <c r="N607" s="38">
        <f t="shared" si="9"/>
        <v>0</v>
      </c>
    </row>
    <row r="608" spans="1:14" x14ac:dyDescent="0.25">
      <c r="A608" t="s">
        <v>105</v>
      </c>
      <c r="B608" s="43" t="s">
        <v>106</v>
      </c>
      <c r="C608" s="62">
        <f>VLOOKUP(B608,合并仓明细!$D$2:$F$74,3,0)</f>
        <v>47</v>
      </c>
      <c r="D608" t="s">
        <v>393</v>
      </c>
      <c r="E608" s="43" t="s">
        <v>262</v>
      </c>
      <c r="F608" t="s">
        <v>68</v>
      </c>
      <c r="G608">
        <v>1601.4958799999999</v>
      </c>
      <c r="H608">
        <v>13.68390250022</v>
      </c>
      <c r="I608" s="46">
        <f>ROUNDUP(H608/30,0)*VLOOKUP(D608,'报价表-配送'!$B$54:$I$58,8,0)</f>
        <v>0</v>
      </c>
      <c r="N608" s="38">
        <f t="shared" si="9"/>
        <v>0</v>
      </c>
    </row>
    <row r="609" spans="1:14" x14ac:dyDescent="0.25">
      <c r="A609" t="s">
        <v>105</v>
      </c>
      <c r="B609" s="43" t="s">
        <v>106</v>
      </c>
      <c r="C609" s="62">
        <f>VLOOKUP(B609,合并仓明细!$D$2:$F$74,3,0)</f>
        <v>47</v>
      </c>
      <c r="D609" t="s">
        <v>393</v>
      </c>
      <c r="E609" s="43" t="s">
        <v>262</v>
      </c>
      <c r="F609" t="s">
        <v>67</v>
      </c>
      <c r="G609">
        <v>10508.0679537</v>
      </c>
      <c r="H609"/>
      <c r="I609" s="46"/>
      <c r="J609" s="37"/>
      <c r="K609" s="37"/>
      <c r="L609" s="37"/>
      <c r="M609" s="37"/>
      <c r="N609" s="38">
        <f t="shared" si="9"/>
        <v>0</v>
      </c>
    </row>
    <row r="610" spans="1:14" x14ac:dyDescent="0.25">
      <c r="A610" t="s">
        <v>105</v>
      </c>
      <c r="B610" s="43" t="s">
        <v>106</v>
      </c>
      <c r="C610" s="62">
        <f>VLOOKUP(B610,合并仓明细!$D$2:$F$74,3,0)</f>
        <v>47</v>
      </c>
      <c r="D610" t="s">
        <v>393</v>
      </c>
      <c r="E610" s="43" t="s">
        <v>262</v>
      </c>
      <c r="F610" t="s">
        <v>66</v>
      </c>
      <c r="G610">
        <v>1574.3386665199998</v>
      </c>
      <c r="H610"/>
      <c r="N610" s="38">
        <f t="shared" si="9"/>
        <v>0</v>
      </c>
    </row>
    <row r="611" spans="1:14" x14ac:dyDescent="0.25">
      <c r="A611" t="s">
        <v>105</v>
      </c>
      <c r="B611" s="43" t="s">
        <v>106</v>
      </c>
      <c r="C611" s="62">
        <f>VLOOKUP(B611,合并仓明细!$D$2:$F$74,3,0)</f>
        <v>47</v>
      </c>
      <c r="D611" t="s">
        <v>393</v>
      </c>
      <c r="E611" s="43" t="s">
        <v>264</v>
      </c>
      <c r="F611" t="s">
        <v>66</v>
      </c>
      <c r="G611">
        <v>951.59416652999994</v>
      </c>
      <c r="H611">
        <v>0.95159416652999995</v>
      </c>
      <c r="L611" s="37">
        <f>IF(H611&gt;30,QUOTIENT(H611,30)*VLOOKUP(D611,'报价表-配送'!$B$54:$I$58,8,0),0)+IF(AND(MOD(H611,30)&gt;18,MOD(H611,30)&lt;=30),1,0)*VLOOKUP(D611,'报价表-配送'!$B$54:$I$58,8,0)+IF(AND(MOD(H611,30)&gt;8,MOD(H611,30)&lt;=18),1*VLOOKUP(D611,'报价表-配送'!$B$54:$I$58,7,0),0)+IF(AND(MOD(H611,30)&lt;=8,MOD(H611,30)&gt;2.5),1,0)*VLOOKUP(D611,'报价表-配送'!$B$54:$I$58,6,0)+IF(AND(MOD(H611,30)&lt;=2.5,MOD(H611,30)&gt;=1.5),1,0)*VLOOKUP(D611,'报价表-配送'!$B$54:$I$58,5,0)</f>
        <v>0</v>
      </c>
      <c r="M611" s="39">
        <f>IF(AND(MOD(H611,30)&lt;1.5,MOD(H611,30)&gt;=0.5),H611,0)*VLOOKUP(D611,'报价表-配送'!$B$54:$I$58,4,0)*1000+IF(AND(MOD(H611,30)&lt;0.5,MOD(H611,30)&gt;=0.02),H611,0)*VLOOKUP(D611,'报价表-配送'!$B$54:$I$58,3,0)*1000+IF(AND(MOD(H611,30)&lt;0.02),H611,0)*VLOOKUP(D611,'报价表-配送'!$B$54:$I$58,2,0)*1000</f>
        <v>0</v>
      </c>
      <c r="N611" s="38">
        <f t="shared" si="9"/>
        <v>0</v>
      </c>
    </row>
    <row r="612" spans="1:14" x14ac:dyDescent="0.25">
      <c r="A612" t="s">
        <v>105</v>
      </c>
      <c r="B612" s="43" t="s">
        <v>106</v>
      </c>
      <c r="C612" s="62">
        <f>VLOOKUP(B612,合并仓明细!$D$2:$F$74,3,0)</f>
        <v>47</v>
      </c>
      <c r="D612" t="s">
        <v>393</v>
      </c>
      <c r="E612" s="43" t="s">
        <v>265</v>
      </c>
      <c r="F612" t="s">
        <v>68</v>
      </c>
      <c r="G612">
        <v>4385.8039200000003</v>
      </c>
      <c r="H612">
        <v>6.3455952908099995</v>
      </c>
      <c r="I612" s="46">
        <f>ROUNDUP(H612/30,0)*VLOOKUP(D612,'报价表-配送'!$B$54:$I$58,8,0)</f>
        <v>0</v>
      </c>
      <c r="J612" s="37"/>
      <c r="K612" s="37"/>
      <c r="L612" s="37"/>
      <c r="M612" s="37"/>
      <c r="N612" s="38">
        <f t="shared" si="9"/>
        <v>0</v>
      </c>
    </row>
    <row r="613" spans="1:14" x14ac:dyDescent="0.25">
      <c r="A613" t="s">
        <v>105</v>
      </c>
      <c r="B613" s="43" t="s">
        <v>106</v>
      </c>
      <c r="C613" s="62">
        <f>VLOOKUP(B613,合并仓明细!$D$2:$F$74,3,0)</f>
        <v>47</v>
      </c>
      <c r="D613" t="s">
        <v>393</v>
      </c>
      <c r="E613" s="43" t="s">
        <v>265</v>
      </c>
      <c r="F613" t="s">
        <v>67</v>
      </c>
      <c r="G613">
        <v>1254.0510379999998</v>
      </c>
      <c r="H613"/>
      <c r="N613" s="38">
        <f t="shared" si="9"/>
        <v>0</v>
      </c>
    </row>
    <row r="614" spans="1:14" x14ac:dyDescent="0.25">
      <c r="A614" t="s">
        <v>105</v>
      </c>
      <c r="B614" s="43" t="s">
        <v>106</v>
      </c>
      <c r="C614" s="62">
        <f>VLOOKUP(B614,合并仓明细!$D$2:$F$74,3,0)</f>
        <v>47</v>
      </c>
      <c r="D614" t="s">
        <v>393</v>
      </c>
      <c r="E614" s="43" t="s">
        <v>265</v>
      </c>
      <c r="F614" t="s">
        <v>66</v>
      </c>
      <c r="G614">
        <v>705.74033281000004</v>
      </c>
      <c r="H614"/>
      <c r="N614" s="38">
        <f t="shared" si="9"/>
        <v>0</v>
      </c>
    </row>
    <row r="615" spans="1:14" x14ac:dyDescent="0.25">
      <c r="A615" t="s">
        <v>105</v>
      </c>
      <c r="B615" s="43" t="s">
        <v>106</v>
      </c>
      <c r="C615" s="62">
        <f>VLOOKUP(B615,合并仓明细!$D$2:$F$74,3,0)</f>
        <v>47</v>
      </c>
      <c r="D615" t="s">
        <v>393</v>
      </c>
      <c r="E615" s="43" t="s">
        <v>266</v>
      </c>
      <c r="F615" t="s">
        <v>68</v>
      </c>
      <c r="G615">
        <v>7003.1279999999997</v>
      </c>
      <c r="H615">
        <v>14.005603946809998</v>
      </c>
      <c r="I615" s="46">
        <f>ROUNDUP(H615/30,0)*VLOOKUP(D615,'报价表-配送'!$B$54:$I$58,8,0)</f>
        <v>0</v>
      </c>
      <c r="J615" s="37"/>
      <c r="K615" s="37"/>
      <c r="L615" s="37"/>
      <c r="M615" s="37"/>
      <c r="N615" s="38">
        <f t="shared" si="9"/>
        <v>0</v>
      </c>
    </row>
    <row r="616" spans="1:14" x14ac:dyDescent="0.25">
      <c r="A616" t="s">
        <v>105</v>
      </c>
      <c r="B616" s="43" t="s">
        <v>106</v>
      </c>
      <c r="C616" s="62">
        <f>VLOOKUP(B616,合并仓明细!$D$2:$F$74,3,0)</f>
        <v>47</v>
      </c>
      <c r="D616" t="s">
        <v>393</v>
      </c>
      <c r="E616" s="43" t="s">
        <v>266</v>
      </c>
      <c r="F616" t="s">
        <v>67</v>
      </c>
      <c r="G616">
        <v>5476.3822799999998</v>
      </c>
      <c r="H616"/>
      <c r="N616" s="38">
        <f t="shared" si="9"/>
        <v>0</v>
      </c>
    </row>
    <row r="617" spans="1:14" x14ac:dyDescent="0.25">
      <c r="A617" t="s">
        <v>105</v>
      </c>
      <c r="B617" s="43" t="s">
        <v>106</v>
      </c>
      <c r="C617" s="62">
        <f>VLOOKUP(B617,合并仓明细!$D$2:$F$74,3,0)</f>
        <v>47</v>
      </c>
      <c r="D617" t="s">
        <v>393</v>
      </c>
      <c r="E617" s="43" t="s">
        <v>266</v>
      </c>
      <c r="F617" t="s">
        <v>66</v>
      </c>
      <c r="G617">
        <v>1526.0936668099994</v>
      </c>
      <c r="H617"/>
      <c r="N617" s="38">
        <f t="shared" si="9"/>
        <v>0</v>
      </c>
    </row>
    <row r="618" spans="1:14" x14ac:dyDescent="0.25">
      <c r="A618" t="s">
        <v>105</v>
      </c>
      <c r="B618" s="43" t="s">
        <v>106</v>
      </c>
      <c r="C618" s="62">
        <f>VLOOKUP(B618,合并仓明细!$D$2:$F$74,3,0)</f>
        <v>47</v>
      </c>
      <c r="D618" t="s">
        <v>393</v>
      </c>
      <c r="E618" s="43" t="s">
        <v>258</v>
      </c>
      <c r="F618" t="s">
        <v>67</v>
      </c>
      <c r="G618">
        <v>1466.244678</v>
      </c>
      <c r="H618">
        <v>2.5684329507600006</v>
      </c>
      <c r="I618" s="38">
        <f>IF(H618&gt;30,QUOTIENT(H618,30)*VLOOKUP(D618,'报价表-配送'!$B$54:$I$58,8,0),0)+IF(AND(MOD(H618,30)&gt;18,MOD(H618,30)&lt;=30),1,0)*VLOOKUP(D618,'报价表-配送'!$B$54:$I$58,8,0)</f>
        <v>0</v>
      </c>
      <c r="J618" s="38">
        <f>IF(AND(MOD(H618,30)&gt;8,MOD(H618,30)&lt;=18),1*VLOOKUP(D618,'报价表-配送'!$B$54:$I$58,7,0),0)</f>
        <v>0</v>
      </c>
      <c r="K618" s="38">
        <f>IF(AND(MOD(H618,30)&lt;=8,MOD(H618,30)&gt;0),1,0)*VLOOKUP(D618,'报价表-配送'!$B$54:$I$58,6,0)</f>
        <v>0</v>
      </c>
      <c r="L618" s="37"/>
      <c r="M618" s="37"/>
      <c r="N618" s="38">
        <f t="shared" si="9"/>
        <v>0</v>
      </c>
    </row>
    <row r="619" spans="1:14" x14ac:dyDescent="0.25">
      <c r="A619" t="s">
        <v>105</v>
      </c>
      <c r="B619" s="43" t="s">
        <v>106</v>
      </c>
      <c r="C619" s="62">
        <f>VLOOKUP(B619,合并仓明细!$D$2:$F$74,3,0)</f>
        <v>47</v>
      </c>
      <c r="D619" t="s">
        <v>393</v>
      </c>
      <c r="E619" s="43" t="s">
        <v>258</v>
      </c>
      <c r="F619" t="s">
        <v>66</v>
      </c>
      <c r="G619">
        <v>1102.1882727600002</v>
      </c>
      <c r="H619"/>
      <c r="N619" s="38">
        <f t="shared" si="9"/>
        <v>0</v>
      </c>
    </row>
    <row r="620" spans="1:14" x14ac:dyDescent="0.25">
      <c r="A620" t="s">
        <v>105</v>
      </c>
      <c r="B620" s="43" t="s">
        <v>106</v>
      </c>
      <c r="C620" s="62">
        <f>VLOOKUP(B620,合并仓明细!$D$2:$F$74,3,0)</f>
        <v>47</v>
      </c>
      <c r="D620" t="s">
        <v>393</v>
      </c>
      <c r="E620" s="43" t="s">
        <v>272</v>
      </c>
      <c r="F620" t="s">
        <v>68</v>
      </c>
      <c r="G620">
        <v>1965.6599999999999</v>
      </c>
      <c r="H620">
        <v>7.1226120378699997</v>
      </c>
      <c r="I620" s="46">
        <f>ROUNDUP(H620/30,0)*VLOOKUP(D620,'报价表-配送'!$B$54:$I$58,8,0)</f>
        <v>0</v>
      </c>
      <c r="N620" s="38">
        <f t="shared" si="9"/>
        <v>0</v>
      </c>
    </row>
    <row r="621" spans="1:14" x14ac:dyDescent="0.25">
      <c r="A621" t="s">
        <v>105</v>
      </c>
      <c r="B621" s="43" t="s">
        <v>106</v>
      </c>
      <c r="C621" s="62">
        <f>VLOOKUP(B621,合并仓明细!$D$2:$F$74,3,0)</f>
        <v>47</v>
      </c>
      <c r="D621" t="s">
        <v>393</v>
      </c>
      <c r="E621" s="43" t="s">
        <v>272</v>
      </c>
      <c r="F621" t="s">
        <v>67</v>
      </c>
      <c r="G621">
        <v>3610.4912803199995</v>
      </c>
      <c r="H621"/>
      <c r="I621" s="46"/>
      <c r="J621" s="37"/>
      <c r="K621" s="37"/>
      <c r="L621" s="37"/>
      <c r="M621" s="37"/>
      <c r="N621" s="38">
        <f t="shared" si="9"/>
        <v>0</v>
      </c>
    </row>
    <row r="622" spans="1:14" x14ac:dyDescent="0.25">
      <c r="A622" t="s">
        <v>105</v>
      </c>
      <c r="B622" s="43" t="s">
        <v>106</v>
      </c>
      <c r="C622" s="62">
        <f>VLOOKUP(B622,合并仓明细!$D$2:$F$74,3,0)</f>
        <v>47</v>
      </c>
      <c r="D622" t="s">
        <v>393</v>
      </c>
      <c r="E622" s="43" t="s">
        <v>272</v>
      </c>
      <c r="F622" t="s">
        <v>66</v>
      </c>
      <c r="G622">
        <v>1546.4607575499999</v>
      </c>
      <c r="H622"/>
      <c r="N622" s="38">
        <f t="shared" si="9"/>
        <v>0</v>
      </c>
    </row>
    <row r="623" spans="1:14" x14ac:dyDescent="0.25">
      <c r="A623" t="s">
        <v>105</v>
      </c>
      <c r="B623" s="43" t="s">
        <v>106</v>
      </c>
      <c r="C623" s="62">
        <f>VLOOKUP(B623,合并仓明细!$D$2:$F$74,3,0)</f>
        <v>47</v>
      </c>
      <c r="D623" t="s">
        <v>393</v>
      </c>
      <c r="E623" s="43" t="s">
        <v>322</v>
      </c>
      <c r="F623" t="s">
        <v>66</v>
      </c>
      <c r="G623">
        <v>236.73</v>
      </c>
      <c r="H623">
        <v>0.23673</v>
      </c>
      <c r="L623" s="37">
        <f>IF(H623&gt;30,QUOTIENT(H623,30)*VLOOKUP(D623,'报价表-配送'!$B$54:$I$58,8,0),0)+IF(AND(MOD(H623,30)&gt;18,MOD(H623,30)&lt;=30),1,0)*VLOOKUP(D623,'报价表-配送'!$B$54:$I$58,8,0)+IF(AND(MOD(H623,30)&gt;8,MOD(H623,30)&lt;=18),1*VLOOKUP(D623,'报价表-配送'!$B$54:$I$58,7,0),0)+IF(AND(MOD(H623,30)&lt;=8,MOD(H623,30)&gt;2.5),1,0)*VLOOKUP(D623,'报价表-配送'!$B$54:$I$58,6,0)+IF(AND(MOD(H623,30)&lt;=2.5,MOD(H623,30)&gt;=1.5),1,0)*VLOOKUP(D623,'报价表-配送'!$B$54:$I$58,5,0)</f>
        <v>0</v>
      </c>
      <c r="M623" s="39">
        <f>IF(AND(MOD(H623,30)&lt;1.5,MOD(H623,30)&gt;=0.5),H623,0)*VLOOKUP(D623,'报价表-配送'!$B$54:$I$58,4,0)*1000+IF(AND(MOD(H623,30)&lt;0.5,MOD(H623,30)&gt;=0.02),H623,0)*VLOOKUP(D623,'报价表-配送'!$B$54:$I$58,3,0)*1000+IF(AND(MOD(H623,30)&lt;0.02),H623,0)*VLOOKUP(D623,'报价表-配送'!$B$54:$I$58,2,0)*1000</f>
        <v>0</v>
      </c>
      <c r="N623" s="38">
        <f t="shared" si="9"/>
        <v>0</v>
      </c>
    </row>
    <row r="624" spans="1:14" x14ac:dyDescent="0.25">
      <c r="A624" t="s">
        <v>105</v>
      </c>
      <c r="B624" s="43" t="s">
        <v>106</v>
      </c>
      <c r="C624" s="62">
        <f>VLOOKUP(B624,合并仓明细!$D$2:$F$74,3,0)</f>
        <v>47</v>
      </c>
      <c r="D624" t="s">
        <v>393</v>
      </c>
      <c r="E624" s="43" t="s">
        <v>275</v>
      </c>
      <c r="F624" t="s">
        <v>68</v>
      </c>
      <c r="G624">
        <v>4084.0756799999999</v>
      </c>
      <c r="H624">
        <v>6.57970537952</v>
      </c>
      <c r="I624" s="46">
        <f>ROUNDUP(H624/30,0)*VLOOKUP(D624,'报价表-配送'!$B$54:$I$58,8,0)</f>
        <v>0</v>
      </c>
      <c r="J624" s="37"/>
      <c r="K624" s="37"/>
      <c r="L624" s="37"/>
      <c r="M624" s="37"/>
      <c r="N624" s="38">
        <f t="shared" si="9"/>
        <v>0</v>
      </c>
    </row>
    <row r="625" spans="1:14" x14ac:dyDescent="0.25">
      <c r="A625" t="s">
        <v>105</v>
      </c>
      <c r="B625" s="43" t="s">
        <v>106</v>
      </c>
      <c r="C625" s="62">
        <f>VLOOKUP(B625,合并仓明细!$D$2:$F$74,3,0)</f>
        <v>47</v>
      </c>
      <c r="D625" t="s">
        <v>393</v>
      </c>
      <c r="E625" s="43" t="s">
        <v>275</v>
      </c>
      <c r="F625" t="s">
        <v>67</v>
      </c>
      <c r="G625">
        <v>2228.5383900000002</v>
      </c>
      <c r="H625"/>
      <c r="N625" s="38">
        <f t="shared" si="9"/>
        <v>0</v>
      </c>
    </row>
    <row r="626" spans="1:14" x14ac:dyDescent="0.25">
      <c r="A626" t="s">
        <v>105</v>
      </c>
      <c r="B626" s="43" t="s">
        <v>106</v>
      </c>
      <c r="C626" s="62">
        <f>VLOOKUP(B626,合并仓明细!$D$2:$F$74,3,0)</f>
        <v>47</v>
      </c>
      <c r="D626" t="s">
        <v>393</v>
      </c>
      <c r="E626" s="43" t="s">
        <v>275</v>
      </c>
      <c r="F626" t="s">
        <v>66</v>
      </c>
      <c r="G626">
        <v>267.09130951999998</v>
      </c>
      <c r="H626"/>
      <c r="N626" s="38">
        <f t="shared" si="9"/>
        <v>0</v>
      </c>
    </row>
    <row r="627" spans="1:14" x14ac:dyDescent="0.25">
      <c r="A627" t="s">
        <v>105</v>
      </c>
      <c r="B627" s="43" t="s">
        <v>106</v>
      </c>
      <c r="C627" s="62">
        <f>VLOOKUP(B627,合并仓明细!$D$2:$F$74,3,0)</f>
        <v>47</v>
      </c>
      <c r="D627" t="s">
        <v>393</v>
      </c>
      <c r="E627" s="43" t="s">
        <v>277</v>
      </c>
      <c r="F627" t="s">
        <v>68</v>
      </c>
      <c r="G627">
        <v>76.628879999999995</v>
      </c>
      <c r="H627">
        <v>5.0493790068900006</v>
      </c>
      <c r="I627" s="46">
        <f>ROUNDUP(H627/30,0)*VLOOKUP(D627,'报价表-配送'!$B$54:$I$58,8,0)</f>
        <v>0</v>
      </c>
      <c r="J627" s="37"/>
      <c r="K627" s="37"/>
      <c r="L627" s="37"/>
      <c r="M627" s="37"/>
      <c r="N627" s="38">
        <f t="shared" si="9"/>
        <v>0</v>
      </c>
    </row>
    <row r="628" spans="1:14" x14ac:dyDescent="0.25">
      <c r="A628" t="s">
        <v>105</v>
      </c>
      <c r="B628" s="43" t="s">
        <v>106</v>
      </c>
      <c r="C628" s="62">
        <f>VLOOKUP(B628,合并仓明细!$D$2:$F$74,3,0)</f>
        <v>47</v>
      </c>
      <c r="D628" t="s">
        <v>393</v>
      </c>
      <c r="E628" s="43" t="s">
        <v>277</v>
      </c>
      <c r="F628" t="s">
        <v>67</v>
      </c>
      <c r="G628">
        <v>4471.2417936000002</v>
      </c>
      <c r="H628"/>
      <c r="N628" s="38">
        <f t="shared" si="9"/>
        <v>0</v>
      </c>
    </row>
    <row r="629" spans="1:14" x14ac:dyDescent="0.25">
      <c r="A629" t="s">
        <v>105</v>
      </c>
      <c r="B629" s="43" t="s">
        <v>106</v>
      </c>
      <c r="C629" s="62">
        <f>VLOOKUP(B629,合并仓明细!$D$2:$F$74,3,0)</f>
        <v>47</v>
      </c>
      <c r="D629" t="s">
        <v>393</v>
      </c>
      <c r="E629" s="43" t="s">
        <v>277</v>
      </c>
      <c r="F629" t="s">
        <v>66</v>
      </c>
      <c r="G629">
        <v>501.50833329000005</v>
      </c>
      <c r="H629"/>
      <c r="N629" s="38">
        <f t="shared" si="9"/>
        <v>0</v>
      </c>
    </row>
    <row r="630" spans="1:14" x14ac:dyDescent="0.25">
      <c r="A630" t="s">
        <v>105</v>
      </c>
      <c r="B630" s="43" t="s">
        <v>106</v>
      </c>
      <c r="C630" s="62">
        <f>VLOOKUP(B630,合并仓明细!$D$2:$F$74,3,0)</f>
        <v>47</v>
      </c>
      <c r="D630" t="s">
        <v>393</v>
      </c>
      <c r="E630" s="43" t="s">
        <v>311</v>
      </c>
      <c r="F630" t="s">
        <v>66</v>
      </c>
      <c r="G630">
        <v>1220.26875</v>
      </c>
      <c r="H630">
        <v>1.22026875</v>
      </c>
      <c r="I630" s="46"/>
      <c r="J630" s="37"/>
      <c r="K630" s="37"/>
      <c r="L630" s="37">
        <f>IF(H630&gt;30,QUOTIENT(H630,30)*VLOOKUP(D630,'报价表-配送'!$B$54:$I$58,8,0),0)+IF(AND(MOD(H630,30)&gt;18,MOD(H630,30)&lt;=30),1,0)*VLOOKUP(D630,'报价表-配送'!$B$54:$I$58,8,0)+IF(AND(MOD(H630,30)&gt;8,MOD(H630,30)&lt;=18),1*VLOOKUP(D630,'报价表-配送'!$B$54:$I$58,7,0),0)+IF(AND(MOD(H630,30)&lt;=8,MOD(H630,30)&gt;2.5),1,0)*VLOOKUP(D630,'报价表-配送'!$B$54:$I$58,6,0)+IF(AND(MOD(H630,30)&lt;=2.5,MOD(H630,30)&gt;=1.5),1,0)*VLOOKUP(D630,'报价表-配送'!$B$54:$I$58,5,0)</f>
        <v>0</v>
      </c>
      <c r="M630" s="39">
        <f>IF(AND(MOD(H630,30)&lt;1.5,MOD(H630,30)&gt;=0.5),H630,0)*VLOOKUP(D630,'报价表-配送'!$B$54:$I$58,4,0)*1000+IF(AND(MOD(H630,30)&lt;0.5,MOD(H630,30)&gt;=0.02),H630,0)*VLOOKUP(D630,'报价表-配送'!$B$54:$I$58,3,0)*1000+IF(AND(MOD(H630,30)&lt;0.02),H630,0)*VLOOKUP(D630,'报价表-配送'!$B$54:$I$58,2,0)*1000</f>
        <v>0</v>
      </c>
      <c r="N630" s="38">
        <f t="shared" si="9"/>
        <v>0</v>
      </c>
    </row>
    <row r="631" spans="1:14" x14ac:dyDescent="0.25">
      <c r="A631" t="s">
        <v>105</v>
      </c>
      <c r="B631" s="43" t="s">
        <v>106</v>
      </c>
      <c r="C631" s="62">
        <f>VLOOKUP(B631,合并仓明细!$D$2:$F$74,3,0)</f>
        <v>47</v>
      </c>
      <c r="D631" t="s">
        <v>393</v>
      </c>
      <c r="E631" s="43" t="s">
        <v>323</v>
      </c>
      <c r="F631" t="s">
        <v>66</v>
      </c>
      <c r="G631">
        <v>489.10666665999997</v>
      </c>
      <c r="H631">
        <v>0.48910666665999997</v>
      </c>
      <c r="L631" s="37">
        <f>IF(H631&gt;30,QUOTIENT(H631,30)*VLOOKUP(D631,'报价表-配送'!$B$54:$I$58,8,0),0)+IF(AND(MOD(H631,30)&gt;18,MOD(H631,30)&lt;=30),1,0)*VLOOKUP(D631,'报价表-配送'!$B$54:$I$58,8,0)+IF(AND(MOD(H631,30)&gt;8,MOD(H631,30)&lt;=18),1*VLOOKUP(D631,'报价表-配送'!$B$54:$I$58,7,0),0)+IF(AND(MOD(H631,30)&lt;=8,MOD(H631,30)&gt;2.5),1,0)*VLOOKUP(D631,'报价表-配送'!$B$54:$I$58,6,0)+IF(AND(MOD(H631,30)&lt;=2.5,MOD(H631,30)&gt;=1.5),1,0)*VLOOKUP(D631,'报价表-配送'!$B$54:$I$58,5,0)</f>
        <v>0</v>
      </c>
      <c r="M631" s="39">
        <f>IF(AND(MOD(H631,30)&lt;1.5,MOD(H631,30)&gt;=0.5),H631,0)*VLOOKUP(D631,'报价表-配送'!$B$54:$I$58,4,0)*1000+IF(AND(MOD(H631,30)&lt;0.5,MOD(H631,30)&gt;=0.02),H631,0)*VLOOKUP(D631,'报价表-配送'!$B$54:$I$58,3,0)*1000+IF(AND(MOD(H631,30)&lt;0.02),H631,0)*VLOOKUP(D631,'报价表-配送'!$B$54:$I$58,2,0)*1000</f>
        <v>0</v>
      </c>
      <c r="N631" s="38">
        <f t="shared" si="9"/>
        <v>0</v>
      </c>
    </row>
    <row r="632" spans="1:14" x14ac:dyDescent="0.25">
      <c r="A632" t="s">
        <v>105</v>
      </c>
      <c r="B632" s="43" t="s">
        <v>106</v>
      </c>
      <c r="C632" s="62">
        <f>VLOOKUP(B632,合并仓明细!$D$2:$F$74,3,0)</f>
        <v>47</v>
      </c>
      <c r="D632" t="s">
        <v>393</v>
      </c>
      <c r="E632" s="43" t="s">
        <v>324</v>
      </c>
      <c r="F632" t="s">
        <v>68</v>
      </c>
      <c r="G632">
        <v>2119.127896</v>
      </c>
      <c r="H632">
        <v>9.5233999854399993</v>
      </c>
      <c r="I632" s="46">
        <f>ROUNDUP(H632/30,0)*VLOOKUP(D632,'报价表-配送'!$B$54:$I$58,8,0)</f>
        <v>0</v>
      </c>
      <c r="N632" s="38">
        <f t="shared" si="9"/>
        <v>0</v>
      </c>
    </row>
    <row r="633" spans="1:14" x14ac:dyDescent="0.25">
      <c r="A633" t="s">
        <v>105</v>
      </c>
      <c r="B633" s="43" t="s">
        <v>106</v>
      </c>
      <c r="C633" s="62">
        <f>VLOOKUP(B633,合并仓明细!$D$2:$F$74,3,0)</f>
        <v>47</v>
      </c>
      <c r="D633" t="s">
        <v>393</v>
      </c>
      <c r="E633" s="43" t="s">
        <v>324</v>
      </c>
      <c r="F633" t="s">
        <v>67</v>
      </c>
      <c r="G633">
        <v>6706.6844539999984</v>
      </c>
      <c r="H633"/>
      <c r="N633" s="38">
        <f t="shared" si="9"/>
        <v>0</v>
      </c>
    </row>
    <row r="634" spans="1:14" x14ac:dyDescent="0.25">
      <c r="A634" t="s">
        <v>105</v>
      </c>
      <c r="B634" s="43" t="s">
        <v>106</v>
      </c>
      <c r="C634" s="62">
        <f>VLOOKUP(B634,合并仓明细!$D$2:$F$74,3,0)</f>
        <v>47</v>
      </c>
      <c r="D634" t="s">
        <v>393</v>
      </c>
      <c r="E634" s="43" t="s">
        <v>324</v>
      </c>
      <c r="F634" t="s">
        <v>66</v>
      </c>
      <c r="G634">
        <v>697.58763543999999</v>
      </c>
      <c r="H634"/>
      <c r="N634" s="38">
        <f t="shared" si="9"/>
        <v>0</v>
      </c>
    </row>
    <row r="635" spans="1:14" x14ac:dyDescent="0.25">
      <c r="A635" t="s">
        <v>105</v>
      </c>
      <c r="B635" s="43" t="s">
        <v>106</v>
      </c>
      <c r="C635" s="62">
        <f>VLOOKUP(B635,合并仓明细!$D$2:$F$74,3,0)</f>
        <v>47</v>
      </c>
      <c r="D635" t="s">
        <v>393</v>
      </c>
      <c r="E635" s="43" t="s">
        <v>291</v>
      </c>
      <c r="F635" t="s">
        <v>68</v>
      </c>
      <c r="G635">
        <v>1141.6654799999999</v>
      </c>
      <c r="H635">
        <v>6.7698726136899996</v>
      </c>
      <c r="I635" s="46">
        <f>ROUNDUP(H635/30,0)*VLOOKUP(D635,'报价表-配送'!$B$54:$I$58,8,0)</f>
        <v>0</v>
      </c>
      <c r="N635" s="38">
        <f t="shared" si="9"/>
        <v>0</v>
      </c>
    </row>
    <row r="636" spans="1:14" x14ac:dyDescent="0.25">
      <c r="A636" t="s">
        <v>105</v>
      </c>
      <c r="B636" s="43" t="s">
        <v>106</v>
      </c>
      <c r="C636" s="62">
        <f>VLOOKUP(B636,合并仓明细!$D$2:$F$74,3,0)</f>
        <v>47</v>
      </c>
      <c r="D636" t="s">
        <v>393</v>
      </c>
      <c r="E636" s="43" t="s">
        <v>291</v>
      </c>
      <c r="F636" t="s">
        <v>67</v>
      </c>
      <c r="G636">
        <v>4926.4985699999997</v>
      </c>
      <c r="H636"/>
      <c r="N636" s="38">
        <f t="shared" si="9"/>
        <v>0</v>
      </c>
    </row>
    <row r="637" spans="1:14" x14ac:dyDescent="0.25">
      <c r="A637" t="s">
        <v>105</v>
      </c>
      <c r="B637" s="43" t="s">
        <v>106</v>
      </c>
      <c r="C637" s="62">
        <f>VLOOKUP(B637,合并仓明细!$D$2:$F$74,3,0)</f>
        <v>47</v>
      </c>
      <c r="D637" t="s">
        <v>393</v>
      </c>
      <c r="E637" s="43" t="s">
        <v>291</v>
      </c>
      <c r="F637" t="s">
        <v>66</v>
      </c>
      <c r="G637">
        <v>701.70856368999989</v>
      </c>
      <c r="H637"/>
      <c r="I637" s="46"/>
      <c r="J637" s="37"/>
      <c r="K637" s="37"/>
      <c r="L637" s="37"/>
      <c r="M637" s="37"/>
      <c r="N637" s="38">
        <f t="shared" si="9"/>
        <v>0</v>
      </c>
    </row>
    <row r="638" spans="1:14" x14ac:dyDescent="0.25">
      <c r="A638" t="s">
        <v>105</v>
      </c>
      <c r="B638" s="43" t="s">
        <v>106</v>
      </c>
      <c r="C638" s="62">
        <f>VLOOKUP(B638,合并仓明细!$D$2:$F$74,3,0)</f>
        <v>47</v>
      </c>
      <c r="D638" t="s">
        <v>393</v>
      </c>
      <c r="E638" s="43" t="s">
        <v>294</v>
      </c>
      <c r="F638" t="s">
        <v>68</v>
      </c>
      <c r="G638">
        <v>1335.2826699999998</v>
      </c>
      <c r="H638">
        <v>11.13682844965</v>
      </c>
      <c r="I638" s="46">
        <f>ROUNDUP(H638/30,0)*VLOOKUP(D638,'报价表-配送'!$B$54:$I$58,8,0)</f>
        <v>0</v>
      </c>
      <c r="N638" s="38">
        <f t="shared" si="9"/>
        <v>0</v>
      </c>
    </row>
    <row r="639" spans="1:14" x14ac:dyDescent="0.25">
      <c r="A639" t="s">
        <v>105</v>
      </c>
      <c r="B639" s="43" t="s">
        <v>106</v>
      </c>
      <c r="C639" s="62">
        <f>VLOOKUP(B639,合并仓明细!$D$2:$F$74,3,0)</f>
        <v>47</v>
      </c>
      <c r="D639" t="s">
        <v>393</v>
      </c>
      <c r="E639" s="43" t="s">
        <v>294</v>
      </c>
      <c r="F639" t="s">
        <v>67</v>
      </c>
      <c r="G639">
        <v>9390.0695102999998</v>
      </c>
      <c r="H639"/>
      <c r="N639" s="38">
        <f t="shared" si="9"/>
        <v>0</v>
      </c>
    </row>
    <row r="640" spans="1:14" x14ac:dyDescent="0.25">
      <c r="A640" t="s">
        <v>105</v>
      </c>
      <c r="B640" s="43" t="s">
        <v>106</v>
      </c>
      <c r="C640" s="62">
        <f>VLOOKUP(B640,合并仓明细!$D$2:$F$74,3,0)</f>
        <v>47</v>
      </c>
      <c r="D640" t="s">
        <v>393</v>
      </c>
      <c r="E640" s="43" t="s">
        <v>294</v>
      </c>
      <c r="F640" t="s">
        <v>66</v>
      </c>
      <c r="G640">
        <v>411.47626934999994</v>
      </c>
      <c r="H640"/>
      <c r="N640" s="38">
        <f t="shared" si="9"/>
        <v>0</v>
      </c>
    </row>
    <row r="641" spans="1:14" x14ac:dyDescent="0.25">
      <c r="A641" t="s">
        <v>105</v>
      </c>
      <c r="B641" s="43" t="s">
        <v>106</v>
      </c>
      <c r="C641" s="62">
        <f>VLOOKUP(B641,合并仓明细!$D$2:$F$74,3,0)</f>
        <v>47</v>
      </c>
      <c r="D641" t="s">
        <v>393</v>
      </c>
      <c r="E641" s="43" t="s">
        <v>296</v>
      </c>
      <c r="F641" t="s">
        <v>68</v>
      </c>
      <c r="G641">
        <v>440.34523475999998</v>
      </c>
      <c r="H641">
        <v>1.7487570061400002</v>
      </c>
      <c r="I641" s="46">
        <f>ROUNDUP(H641/30,0)*VLOOKUP(D641,'报价表-配送'!$B$54:$I$58,8,0)</f>
        <v>0</v>
      </c>
      <c r="J641" s="37"/>
      <c r="K641" s="37"/>
      <c r="L641" s="37"/>
      <c r="M641" s="37"/>
      <c r="N641" s="38">
        <f t="shared" si="9"/>
        <v>0</v>
      </c>
    </row>
    <row r="642" spans="1:14" x14ac:dyDescent="0.25">
      <c r="A642" t="s">
        <v>105</v>
      </c>
      <c r="B642" s="43" t="s">
        <v>106</v>
      </c>
      <c r="C642" s="62">
        <f>VLOOKUP(B642,合并仓明细!$D$2:$F$74,3,0)</f>
        <v>47</v>
      </c>
      <c r="D642" t="s">
        <v>393</v>
      </c>
      <c r="E642" s="43" t="s">
        <v>296</v>
      </c>
      <c r="F642" t="s">
        <v>67</v>
      </c>
      <c r="G642">
        <v>394.18912799999998</v>
      </c>
      <c r="H642"/>
      <c r="N642" s="38">
        <f t="shared" si="9"/>
        <v>0</v>
      </c>
    </row>
    <row r="643" spans="1:14" x14ac:dyDescent="0.25">
      <c r="A643" t="s">
        <v>105</v>
      </c>
      <c r="B643" s="43" t="s">
        <v>106</v>
      </c>
      <c r="C643" s="62">
        <f>VLOOKUP(B643,合并仓明细!$D$2:$F$74,3,0)</f>
        <v>47</v>
      </c>
      <c r="D643" t="s">
        <v>393</v>
      </c>
      <c r="E643" s="43" t="s">
        <v>296</v>
      </c>
      <c r="F643" t="s">
        <v>66</v>
      </c>
      <c r="G643">
        <v>914.22264338000002</v>
      </c>
      <c r="H643"/>
      <c r="N643" s="38">
        <f t="shared" si="9"/>
        <v>0</v>
      </c>
    </row>
    <row r="644" spans="1:14" x14ac:dyDescent="0.25">
      <c r="A644" t="s">
        <v>105</v>
      </c>
      <c r="B644" s="45" t="s">
        <v>106</v>
      </c>
      <c r="C644" s="62">
        <f>VLOOKUP(B644,合并仓明细!$D$2:$F$74,3,0)</f>
        <v>47</v>
      </c>
      <c r="D644" t="s">
        <v>393</v>
      </c>
      <c r="E644" s="43" t="s">
        <v>325</v>
      </c>
      <c r="F644" t="s">
        <v>68</v>
      </c>
      <c r="G644">
        <v>1000.9331603400001</v>
      </c>
      <c r="H644">
        <v>6.6299350521100004</v>
      </c>
      <c r="I644" s="46">
        <f>ROUNDUP(H644/30,0)*VLOOKUP(D644,'报价表-配送'!$B$54:$I$58,8,0)</f>
        <v>0</v>
      </c>
      <c r="N644" s="38">
        <f t="shared" si="9"/>
        <v>0</v>
      </c>
    </row>
    <row r="645" spans="1:14" x14ac:dyDescent="0.25">
      <c r="A645" t="s">
        <v>105</v>
      </c>
      <c r="B645" s="44" t="s">
        <v>106</v>
      </c>
      <c r="C645" s="62">
        <f>VLOOKUP(B645,合并仓明细!$D$2:$F$74,3,0)</f>
        <v>47</v>
      </c>
      <c r="D645" t="s">
        <v>393</v>
      </c>
      <c r="E645" s="43" t="s">
        <v>325</v>
      </c>
      <c r="F645" t="s">
        <v>67</v>
      </c>
      <c r="G645">
        <v>4444.3269785000002</v>
      </c>
      <c r="H645"/>
      <c r="I645" s="46"/>
      <c r="J645" s="37"/>
      <c r="K645" s="37"/>
      <c r="L645" s="37"/>
      <c r="M645" s="37"/>
      <c r="N645" s="38">
        <f t="shared" si="9"/>
        <v>0</v>
      </c>
    </row>
    <row r="646" spans="1:14" x14ac:dyDescent="0.25">
      <c r="A646" t="s">
        <v>105</v>
      </c>
      <c r="B646" s="43" t="s">
        <v>106</v>
      </c>
      <c r="C646" s="62">
        <f>VLOOKUP(B646,合并仓明细!$D$2:$F$74,3,0)</f>
        <v>47</v>
      </c>
      <c r="D646" t="s">
        <v>393</v>
      </c>
      <c r="E646" s="43" t="s">
        <v>325</v>
      </c>
      <c r="F646" t="s">
        <v>66</v>
      </c>
      <c r="G646">
        <v>1184.6749132700004</v>
      </c>
      <c r="H646"/>
      <c r="N646" s="38">
        <f t="shared" si="9"/>
        <v>0</v>
      </c>
    </row>
    <row r="647" spans="1:14" x14ac:dyDescent="0.25">
      <c r="A647" t="s">
        <v>105</v>
      </c>
      <c r="B647" s="43" t="s">
        <v>106</v>
      </c>
      <c r="C647" s="62">
        <f>VLOOKUP(B647,合并仓明细!$D$2:$F$74,3,0)</f>
        <v>47</v>
      </c>
      <c r="D647" t="s">
        <v>393</v>
      </c>
      <c r="E647" s="43" t="s">
        <v>326</v>
      </c>
      <c r="F647" t="s">
        <v>67</v>
      </c>
      <c r="G647">
        <v>1467.972</v>
      </c>
      <c r="H647">
        <v>1.9168345</v>
      </c>
      <c r="I647" s="38">
        <f>IF(H647&gt;30,QUOTIENT(H647,30)*VLOOKUP(D647,'报价表-配送'!$B$54:$I$58,8,0),0)+IF(AND(MOD(H647,30)&gt;18,MOD(H647,30)&lt;=30),1,0)*VLOOKUP(D647,'报价表-配送'!$B$54:$I$58,8,0)</f>
        <v>0</v>
      </c>
      <c r="J647" s="38">
        <f>IF(AND(MOD(H647,30)&gt;8,MOD(H647,30)&lt;=18),1*VLOOKUP(D647,'报价表-配送'!$B$54:$I$58,7,0),0)</f>
        <v>0</v>
      </c>
      <c r="K647" s="38">
        <f>IF(AND(MOD(H647,30)&lt;=8,MOD(H647,30)&gt;0),1,0)*VLOOKUP(D647,'报价表-配送'!$B$54:$I$58,6,0)</f>
        <v>0</v>
      </c>
      <c r="N647" s="38">
        <f t="shared" si="9"/>
        <v>0</v>
      </c>
    </row>
    <row r="648" spans="1:14" x14ac:dyDescent="0.25">
      <c r="A648" t="s">
        <v>105</v>
      </c>
      <c r="B648" s="43" t="s">
        <v>106</v>
      </c>
      <c r="C648" s="62">
        <f>VLOOKUP(B648,合并仓明细!$D$2:$F$74,3,0)</f>
        <v>47</v>
      </c>
      <c r="D648" t="s">
        <v>393</v>
      </c>
      <c r="E648" s="43" t="s">
        <v>326</v>
      </c>
      <c r="F648" t="s">
        <v>66</v>
      </c>
      <c r="G648">
        <v>448.86250000000007</v>
      </c>
      <c r="H648"/>
      <c r="I648" s="38"/>
      <c r="J648" s="38"/>
      <c r="K648" s="38"/>
      <c r="L648" s="37"/>
      <c r="M648" s="37"/>
      <c r="N648" s="38">
        <f t="shared" si="9"/>
        <v>0</v>
      </c>
    </row>
    <row r="649" spans="1:14" x14ac:dyDescent="0.25">
      <c r="A649" t="s">
        <v>105</v>
      </c>
      <c r="B649" s="43" t="s">
        <v>106</v>
      </c>
      <c r="C649" s="62">
        <f>VLOOKUP(B649,合并仓明细!$D$2:$F$74,3,0)</f>
        <v>47</v>
      </c>
      <c r="D649" t="s">
        <v>393</v>
      </c>
      <c r="E649" s="43" t="s">
        <v>327</v>
      </c>
      <c r="F649" t="s">
        <v>68</v>
      </c>
      <c r="G649">
        <v>512.47464000000002</v>
      </c>
      <c r="H649">
        <v>6.8478097181100006</v>
      </c>
      <c r="I649" s="46">
        <f>ROUNDUP(H649/30,0)*VLOOKUP(D649,'报价表-配送'!$B$54:$I$58,8,0)</f>
        <v>0</v>
      </c>
      <c r="N649" s="38">
        <f t="shared" si="9"/>
        <v>0</v>
      </c>
    </row>
    <row r="650" spans="1:14" x14ac:dyDescent="0.25">
      <c r="A650" t="s">
        <v>105</v>
      </c>
      <c r="B650" s="43" t="s">
        <v>106</v>
      </c>
      <c r="C650" s="62">
        <f>VLOOKUP(B650,合并仓明细!$D$2:$F$74,3,0)</f>
        <v>47</v>
      </c>
      <c r="D650" t="s">
        <v>393</v>
      </c>
      <c r="E650" s="43" t="s">
        <v>327</v>
      </c>
      <c r="F650" t="s">
        <v>67</v>
      </c>
      <c r="G650">
        <v>5573.0598479999999</v>
      </c>
      <c r="H650"/>
      <c r="I650" s="46"/>
      <c r="J650" s="37"/>
      <c r="K650" s="37"/>
      <c r="L650" s="37"/>
      <c r="M650" s="37"/>
      <c r="N650" s="38">
        <f t="shared" si="9"/>
        <v>0</v>
      </c>
    </row>
    <row r="651" spans="1:14" x14ac:dyDescent="0.25">
      <c r="A651" t="s">
        <v>105</v>
      </c>
      <c r="B651" s="43" t="s">
        <v>106</v>
      </c>
      <c r="C651" s="62">
        <f>VLOOKUP(B651,合并仓明细!$D$2:$F$74,3,0)</f>
        <v>47</v>
      </c>
      <c r="D651" t="s">
        <v>393</v>
      </c>
      <c r="E651" s="43" t="s">
        <v>327</v>
      </c>
      <c r="F651" t="s">
        <v>66</v>
      </c>
      <c r="G651">
        <v>762.27523010999994</v>
      </c>
      <c r="H651"/>
      <c r="N651" s="38">
        <f t="shared" si="9"/>
        <v>0</v>
      </c>
    </row>
    <row r="652" spans="1:14" x14ac:dyDescent="0.25">
      <c r="A652" t="s">
        <v>105</v>
      </c>
      <c r="B652" s="43" t="s">
        <v>106</v>
      </c>
      <c r="C652" s="62">
        <f>VLOOKUP(B652,合并仓明细!$D$2:$F$74,3,0)</f>
        <v>47</v>
      </c>
      <c r="D652" t="s">
        <v>393</v>
      </c>
      <c r="E652" s="43" t="s">
        <v>303</v>
      </c>
      <c r="F652" t="s">
        <v>68</v>
      </c>
      <c r="G652">
        <v>311.68799999999999</v>
      </c>
      <c r="H652">
        <v>5.0305932989699995</v>
      </c>
      <c r="I652" s="46">
        <f>ROUNDUP(H652/30,0)*VLOOKUP(D652,'报价表-配送'!$B$54:$I$58,8,0)</f>
        <v>0</v>
      </c>
      <c r="N652" s="38">
        <f t="shared" si="9"/>
        <v>0</v>
      </c>
    </row>
    <row r="653" spans="1:14" x14ac:dyDescent="0.25">
      <c r="A653" t="s">
        <v>105</v>
      </c>
      <c r="B653" s="43" t="s">
        <v>106</v>
      </c>
      <c r="C653" s="62">
        <f>VLOOKUP(B653,合并仓明细!$D$2:$F$74,3,0)</f>
        <v>47</v>
      </c>
      <c r="D653" t="s">
        <v>393</v>
      </c>
      <c r="E653" s="43" t="s">
        <v>303</v>
      </c>
      <c r="F653" t="s">
        <v>67</v>
      </c>
      <c r="G653">
        <v>3469.4408279999998</v>
      </c>
      <c r="H653"/>
      <c r="I653" s="46"/>
      <c r="J653" s="37"/>
      <c r="K653" s="37"/>
      <c r="L653" s="37"/>
      <c r="M653" s="37"/>
      <c r="N653" s="38">
        <f t="shared" si="9"/>
        <v>0</v>
      </c>
    </row>
    <row r="654" spans="1:14" x14ac:dyDescent="0.25">
      <c r="A654" t="s">
        <v>105</v>
      </c>
      <c r="B654" s="43" t="s">
        <v>106</v>
      </c>
      <c r="C654" s="62">
        <f>VLOOKUP(B654,合并仓明细!$D$2:$F$74,3,0)</f>
        <v>47</v>
      </c>
      <c r="D654" t="s">
        <v>393</v>
      </c>
      <c r="E654" s="43" t="s">
        <v>303</v>
      </c>
      <c r="F654" t="s">
        <v>66</v>
      </c>
      <c r="G654">
        <v>1249.4644709700001</v>
      </c>
      <c r="H654"/>
      <c r="N654" s="38">
        <f t="shared" si="9"/>
        <v>0</v>
      </c>
    </row>
    <row r="655" spans="1:14" x14ac:dyDescent="0.25">
      <c r="A655" t="s">
        <v>105</v>
      </c>
      <c r="B655" s="43" t="s">
        <v>106</v>
      </c>
      <c r="C655" s="62">
        <f>VLOOKUP(B655,合并仓明细!$D$2:$F$74,3,0)</f>
        <v>47</v>
      </c>
      <c r="D655" t="s">
        <v>393</v>
      </c>
      <c r="E655" s="43" t="s">
        <v>328</v>
      </c>
      <c r="F655" t="s">
        <v>68</v>
      </c>
      <c r="G655">
        <v>3337.7039999999997</v>
      </c>
      <c r="H655">
        <v>8.6149874909600008</v>
      </c>
      <c r="I655" s="46">
        <f>ROUNDUP(H655/30,0)*VLOOKUP(D655,'报价表-配送'!$B$54:$I$58,8,0)</f>
        <v>0</v>
      </c>
      <c r="N655" s="38">
        <f t="shared" si="9"/>
        <v>0</v>
      </c>
    </row>
    <row r="656" spans="1:14" x14ac:dyDescent="0.25">
      <c r="A656" t="s">
        <v>105</v>
      </c>
      <c r="B656" s="43" t="s">
        <v>106</v>
      </c>
      <c r="C656" s="62">
        <f>VLOOKUP(B656,合并仓明细!$D$2:$F$74,3,0)</f>
        <v>47</v>
      </c>
      <c r="D656" t="s">
        <v>393</v>
      </c>
      <c r="E656" s="43" t="s">
        <v>328</v>
      </c>
      <c r="F656" t="s">
        <v>67</v>
      </c>
      <c r="G656">
        <v>2154.3363719999998</v>
      </c>
      <c r="H656"/>
      <c r="L656" s="37"/>
      <c r="M656" s="39"/>
      <c r="N656" s="38">
        <f t="shared" si="9"/>
        <v>0</v>
      </c>
    </row>
    <row r="657" spans="1:14" x14ac:dyDescent="0.25">
      <c r="A657" t="s">
        <v>105</v>
      </c>
      <c r="B657" s="43" t="s">
        <v>106</v>
      </c>
      <c r="C657" s="62">
        <f>VLOOKUP(B657,合并仓明细!$D$2:$F$74,3,0)</f>
        <v>47</v>
      </c>
      <c r="D657" t="s">
        <v>393</v>
      </c>
      <c r="E657" s="43" t="s">
        <v>328</v>
      </c>
      <c r="F657" t="s">
        <v>66</v>
      </c>
      <c r="G657">
        <v>3122.9471189600004</v>
      </c>
      <c r="H657"/>
      <c r="I657" s="46"/>
      <c r="J657" s="37"/>
      <c r="K657" s="37"/>
      <c r="L657" s="37"/>
      <c r="M657" s="37"/>
      <c r="N657" s="38">
        <f t="shared" si="9"/>
        <v>0</v>
      </c>
    </row>
    <row r="658" spans="1:14" x14ac:dyDescent="0.25">
      <c r="A658" t="s">
        <v>105</v>
      </c>
      <c r="B658" s="43" t="s">
        <v>107</v>
      </c>
      <c r="C658" s="62">
        <f>VLOOKUP(B658,合并仓明细!$D$2:$F$74,3,0)</f>
        <v>244</v>
      </c>
      <c r="D658" s="44" t="s">
        <v>414</v>
      </c>
      <c r="E658" s="43" t="s">
        <v>262</v>
      </c>
      <c r="F658" t="s">
        <v>66</v>
      </c>
      <c r="G658" s="103">
        <v>530.04166663000001</v>
      </c>
      <c r="H658" s="103">
        <v>0.53004166662999996</v>
      </c>
      <c r="L658" s="37">
        <f>IF(H658&gt;30,QUOTIENT(H658,30)*VLOOKUP(D658,'报价表-配送'!$B$54:$I$58,8,0),0)+IF(AND(MOD(H658,30)&gt;18,MOD(H658,30)&lt;=30),1,0)*VLOOKUP(D658,'报价表-配送'!$B$54:$I$58,8,0)+IF(AND(MOD(H658,30)&gt;8,MOD(H658,30)&lt;=18),1*VLOOKUP(D658,'报价表-配送'!$B$54:$I$58,7,0),0)+IF(AND(MOD(H658,30)&lt;=8,MOD(H658,30)&gt;2.5),1,0)*VLOOKUP(D658,'报价表-配送'!$B$54:$I$58,6,0)+IF(AND(MOD(H658,30)&lt;=2.5,MOD(H658,30)&gt;=1.5),1,0)*VLOOKUP(D658,'报价表-配送'!$B$54:$I$58,5,0)</f>
        <v>0</v>
      </c>
      <c r="M658" s="39">
        <f>IF(AND(MOD(H658,30)&lt;1.5,MOD(H658,30)&gt;=0.5),H658,0)*VLOOKUP(D658,'报价表-配送'!$B$54:$I$58,4,0)*1000+IF(AND(MOD(H658,30)&lt;0.5,MOD(H658,30)&gt;=0.02),H658,0)*VLOOKUP(D658,'报价表-配送'!$B$54:$I$58,3,0)*1000+IF(AND(MOD(H658,30)&lt;0.02),H658,0)*VLOOKUP(D658,'报价表-配送'!$B$54:$I$58,2,0)*1000</f>
        <v>0</v>
      </c>
      <c r="N658" s="38">
        <f t="shared" ref="N658:N721" si="10">SUM(I658:M658)</f>
        <v>0</v>
      </c>
    </row>
    <row r="659" spans="1:14" x14ac:dyDescent="0.25">
      <c r="A659" t="s">
        <v>105</v>
      </c>
      <c r="B659" s="43" t="s">
        <v>107</v>
      </c>
      <c r="C659" s="62">
        <f>VLOOKUP(B659,合并仓明细!$D$2:$F$74,3,0)</f>
        <v>244</v>
      </c>
      <c r="D659" s="44" t="s">
        <v>414</v>
      </c>
      <c r="E659" s="43" t="s">
        <v>257</v>
      </c>
      <c r="F659" t="s">
        <v>68</v>
      </c>
      <c r="G659">
        <v>2543.3040000000001</v>
      </c>
      <c r="H659">
        <v>9.3782227814199999</v>
      </c>
      <c r="I659" s="46">
        <f>ROUNDUP(H659/30,0)*VLOOKUP(D659,'报价表-配送'!$B$54:$I$58,8,0)</f>
        <v>0</v>
      </c>
      <c r="N659" s="38">
        <f t="shared" si="10"/>
        <v>0</v>
      </c>
    </row>
    <row r="660" spans="1:14" x14ac:dyDescent="0.25">
      <c r="A660" t="s">
        <v>105</v>
      </c>
      <c r="B660" s="43" t="s">
        <v>107</v>
      </c>
      <c r="C660" s="62">
        <f>VLOOKUP(B660,合并仓明细!$D$2:$F$74,3,0)</f>
        <v>244</v>
      </c>
      <c r="D660" s="44" t="s">
        <v>414</v>
      </c>
      <c r="E660" s="43" t="s">
        <v>257</v>
      </c>
      <c r="F660" t="s">
        <v>67</v>
      </c>
      <c r="G660">
        <v>6675.217709999999</v>
      </c>
      <c r="H660"/>
      <c r="I660" s="46"/>
      <c r="J660" s="37"/>
      <c r="K660" s="37"/>
      <c r="L660" s="37"/>
      <c r="M660" s="37"/>
      <c r="N660" s="38">
        <f t="shared" si="10"/>
        <v>0</v>
      </c>
    </row>
    <row r="661" spans="1:14" x14ac:dyDescent="0.25">
      <c r="A661" t="s">
        <v>105</v>
      </c>
      <c r="B661" s="43" t="s">
        <v>107</v>
      </c>
      <c r="C661" s="62">
        <f>VLOOKUP(B661,合并仓明细!$D$2:$F$74,3,0)</f>
        <v>244</v>
      </c>
      <c r="D661" s="44" t="s">
        <v>414</v>
      </c>
      <c r="E661" s="43" t="s">
        <v>257</v>
      </c>
      <c r="F661" t="s">
        <v>66</v>
      </c>
      <c r="G661">
        <v>159.70107142000001</v>
      </c>
      <c r="H661"/>
      <c r="N661" s="38">
        <f t="shared" si="10"/>
        <v>0</v>
      </c>
    </row>
    <row r="662" spans="1:14" x14ac:dyDescent="0.25">
      <c r="A662" t="s">
        <v>105</v>
      </c>
      <c r="B662" s="43" t="s">
        <v>107</v>
      </c>
      <c r="C662" s="62">
        <f>VLOOKUP(B662,合并仓明细!$D$2:$F$74,3,0)</f>
        <v>244</v>
      </c>
      <c r="D662" s="44" t="s">
        <v>414</v>
      </c>
      <c r="E662" s="43" t="s">
        <v>258</v>
      </c>
      <c r="F662" t="s">
        <v>68</v>
      </c>
      <c r="G662">
        <v>258.24</v>
      </c>
      <c r="H662">
        <v>2.2372006725999998</v>
      </c>
      <c r="I662" s="46">
        <f>ROUNDUP(H662/30,0)*VLOOKUP(D662,'报价表-配送'!$B$54:$I$58,8,0)</f>
        <v>0</v>
      </c>
      <c r="J662" s="37"/>
      <c r="K662" s="37"/>
      <c r="L662" s="37"/>
      <c r="M662" s="37"/>
      <c r="N662" s="38">
        <f t="shared" si="10"/>
        <v>0</v>
      </c>
    </row>
    <row r="663" spans="1:14" x14ac:dyDescent="0.25">
      <c r="A663" t="s">
        <v>105</v>
      </c>
      <c r="B663" s="43" t="s">
        <v>107</v>
      </c>
      <c r="C663" s="62">
        <f>VLOOKUP(B663,合并仓明细!$D$2:$F$74,3,0)</f>
        <v>244</v>
      </c>
      <c r="D663" s="44" t="s">
        <v>414</v>
      </c>
      <c r="E663" s="43" t="s">
        <v>258</v>
      </c>
      <c r="F663" t="s">
        <v>67</v>
      </c>
      <c r="G663">
        <v>1629.4740059999999</v>
      </c>
      <c r="H663"/>
      <c r="N663" s="38">
        <f t="shared" si="10"/>
        <v>0</v>
      </c>
    </row>
    <row r="664" spans="1:14" x14ac:dyDescent="0.25">
      <c r="A664" t="s">
        <v>105</v>
      </c>
      <c r="B664" s="43" t="s">
        <v>107</v>
      </c>
      <c r="C664" s="62">
        <f>VLOOKUP(B664,合并仓明细!$D$2:$F$74,3,0)</f>
        <v>244</v>
      </c>
      <c r="D664" s="44" t="s">
        <v>414</v>
      </c>
      <c r="E664" s="43" t="s">
        <v>258</v>
      </c>
      <c r="F664" t="s">
        <v>66</v>
      </c>
      <c r="G664">
        <v>349.48666660000004</v>
      </c>
      <c r="H664"/>
      <c r="N664" s="38">
        <f t="shared" si="10"/>
        <v>0</v>
      </c>
    </row>
    <row r="665" spans="1:14" x14ac:dyDescent="0.25">
      <c r="A665" t="s">
        <v>105</v>
      </c>
      <c r="B665" s="43" t="s">
        <v>107</v>
      </c>
      <c r="C665" s="62">
        <f>VLOOKUP(B665,合并仓明细!$D$2:$F$74,3,0)</f>
        <v>244</v>
      </c>
      <c r="D665" s="44" t="s">
        <v>414</v>
      </c>
      <c r="E665" s="43" t="s">
        <v>322</v>
      </c>
      <c r="F665" t="s">
        <v>68</v>
      </c>
      <c r="G665">
        <v>394.47551999999996</v>
      </c>
      <c r="H665">
        <v>1.4323384513200001</v>
      </c>
      <c r="I665" s="46">
        <f>ROUNDUP(H665/30,0)*VLOOKUP(D665,'报价表-配送'!$B$54:$I$58,8,0)</f>
        <v>0</v>
      </c>
      <c r="J665" s="37"/>
      <c r="K665" s="37"/>
      <c r="L665" s="37"/>
      <c r="M665" s="37"/>
      <c r="N665" s="38">
        <f t="shared" si="10"/>
        <v>0</v>
      </c>
    </row>
    <row r="666" spans="1:14" x14ac:dyDescent="0.25">
      <c r="A666" t="s">
        <v>105</v>
      </c>
      <c r="B666" s="43" t="s">
        <v>107</v>
      </c>
      <c r="C666" s="62">
        <f>VLOOKUP(B666,合并仓明细!$D$2:$F$74,3,0)</f>
        <v>244</v>
      </c>
      <c r="D666" s="44" t="s">
        <v>414</v>
      </c>
      <c r="E666" s="43" t="s">
        <v>322</v>
      </c>
      <c r="F666" t="s">
        <v>67</v>
      </c>
      <c r="G666">
        <v>558.43459800000005</v>
      </c>
      <c r="H666"/>
      <c r="N666" s="38">
        <f t="shared" si="10"/>
        <v>0</v>
      </c>
    </row>
    <row r="667" spans="1:14" x14ac:dyDescent="0.25">
      <c r="A667" t="s">
        <v>105</v>
      </c>
      <c r="B667" s="43" t="s">
        <v>107</v>
      </c>
      <c r="C667" s="62">
        <f>VLOOKUP(B667,合并仓明细!$D$2:$F$74,3,0)</f>
        <v>244</v>
      </c>
      <c r="D667" s="44" t="s">
        <v>414</v>
      </c>
      <c r="E667" s="43" t="s">
        <v>322</v>
      </c>
      <c r="F667" t="s">
        <v>66</v>
      </c>
      <c r="G667">
        <v>479.42833332000004</v>
      </c>
      <c r="H667"/>
      <c r="N667" s="38">
        <f t="shared" si="10"/>
        <v>0</v>
      </c>
    </row>
    <row r="668" spans="1:14" x14ac:dyDescent="0.25">
      <c r="A668" t="s">
        <v>105</v>
      </c>
      <c r="B668" s="43" t="s">
        <v>107</v>
      </c>
      <c r="C668" s="62">
        <f>VLOOKUP(B668,合并仓明细!$D$2:$F$74,3,0)</f>
        <v>244</v>
      </c>
      <c r="D668" s="44" t="s">
        <v>414</v>
      </c>
      <c r="E668" s="43" t="s">
        <v>310</v>
      </c>
      <c r="F668" t="s">
        <v>68</v>
      </c>
      <c r="G668">
        <v>2685.2639999999997</v>
      </c>
      <c r="H668">
        <v>3.1727365000499996</v>
      </c>
      <c r="I668" s="46">
        <f>ROUNDUP(H668/30,0)*VLOOKUP(D668,'报价表-配送'!$B$54:$I$58,8,0)</f>
        <v>0</v>
      </c>
      <c r="J668" s="37"/>
      <c r="K668" s="37"/>
      <c r="L668" s="37"/>
      <c r="M668" s="37"/>
      <c r="N668" s="38">
        <f t="shared" si="10"/>
        <v>0</v>
      </c>
    </row>
    <row r="669" spans="1:14" x14ac:dyDescent="0.25">
      <c r="A669" t="s">
        <v>105</v>
      </c>
      <c r="B669" s="43" t="s">
        <v>107</v>
      </c>
      <c r="C669" s="62">
        <f>VLOOKUP(B669,合并仓明细!$D$2:$F$74,3,0)</f>
        <v>244</v>
      </c>
      <c r="D669" s="44" t="s">
        <v>414</v>
      </c>
      <c r="E669" s="43" t="s">
        <v>310</v>
      </c>
      <c r="F669" t="s">
        <v>66</v>
      </c>
      <c r="G669">
        <v>487.47250004999995</v>
      </c>
      <c r="H669"/>
      <c r="N669" s="38">
        <f t="shared" si="10"/>
        <v>0</v>
      </c>
    </row>
    <row r="670" spans="1:14" x14ac:dyDescent="0.25">
      <c r="A670" t="s">
        <v>105</v>
      </c>
      <c r="B670" s="43" t="s">
        <v>107</v>
      </c>
      <c r="C670" s="62">
        <f>VLOOKUP(B670,合并仓明细!$D$2:$F$74,3,0)</f>
        <v>244</v>
      </c>
      <c r="D670" s="44" t="s">
        <v>414</v>
      </c>
      <c r="E670" s="43" t="s">
        <v>246</v>
      </c>
      <c r="F670" t="s">
        <v>68</v>
      </c>
      <c r="G670">
        <v>369.43200000000002</v>
      </c>
      <c r="H670">
        <v>0.69992485710999996</v>
      </c>
      <c r="I670" s="46">
        <f>ROUNDUP(H670/30,0)*VLOOKUP(D670,'报价表-配送'!$B$54:$I$58,8,0)</f>
        <v>0</v>
      </c>
      <c r="N670" s="38">
        <f t="shared" si="10"/>
        <v>0</v>
      </c>
    </row>
    <row r="671" spans="1:14" x14ac:dyDescent="0.25">
      <c r="A671" t="s">
        <v>105</v>
      </c>
      <c r="B671" s="43" t="s">
        <v>107</v>
      </c>
      <c r="C671" s="62">
        <f>VLOOKUP(B671,合并仓明细!$D$2:$F$74,3,0)</f>
        <v>244</v>
      </c>
      <c r="D671" s="44" t="s">
        <v>414</v>
      </c>
      <c r="E671" s="43" t="s">
        <v>246</v>
      </c>
      <c r="F671" t="s">
        <v>66</v>
      </c>
      <c r="G671">
        <v>330.49285710999999</v>
      </c>
      <c r="H671"/>
      <c r="I671" s="46"/>
      <c r="J671" s="37"/>
      <c r="K671" s="37"/>
      <c r="L671" s="37"/>
      <c r="M671" s="37"/>
      <c r="N671" s="38">
        <f t="shared" si="10"/>
        <v>0</v>
      </c>
    </row>
    <row r="672" spans="1:14" x14ac:dyDescent="0.25">
      <c r="A672" t="s">
        <v>105</v>
      </c>
      <c r="B672" s="43" t="s">
        <v>107</v>
      </c>
      <c r="C672" s="62">
        <f>VLOOKUP(B672,合并仓明细!$D$2:$F$74,3,0)</f>
        <v>244</v>
      </c>
      <c r="D672" s="44" t="s">
        <v>414</v>
      </c>
      <c r="E672" s="43" t="s">
        <v>329</v>
      </c>
      <c r="F672" t="s">
        <v>67</v>
      </c>
      <c r="G672">
        <v>2968.7119859999998</v>
      </c>
      <c r="H672">
        <v>3.2524453179999995</v>
      </c>
      <c r="I672" s="38">
        <f>IF(H672&gt;30,QUOTIENT(H672,30)*VLOOKUP(D672,'报价表-配送'!$B$54:$I$58,8,0),0)+IF(AND(MOD(H672,30)&gt;18,MOD(H672,30)&lt;=30),1,0)*VLOOKUP(D672,'报价表-配送'!$B$54:$I$58,8,0)</f>
        <v>0</v>
      </c>
      <c r="J672" s="38">
        <f>IF(AND(MOD(H672,30)&gt;8,MOD(H672,30)&lt;=18),1*VLOOKUP(D672,'报价表-配送'!$B$54:$I$58,7,0),0)</f>
        <v>0</v>
      </c>
      <c r="K672" s="38">
        <f>IF(AND(MOD(H672,30)&lt;=8,MOD(H672,30)&gt;0),1,0)*VLOOKUP(D672,'报价表-配送'!$B$54:$I$58,6,0)</f>
        <v>0</v>
      </c>
      <c r="N672" s="38">
        <f t="shared" si="10"/>
        <v>0</v>
      </c>
    </row>
    <row r="673" spans="1:14" x14ac:dyDescent="0.25">
      <c r="A673" t="s">
        <v>105</v>
      </c>
      <c r="B673" s="43" t="s">
        <v>107</v>
      </c>
      <c r="C673" s="62">
        <f>VLOOKUP(B673,合并仓明细!$D$2:$F$74,3,0)</f>
        <v>244</v>
      </c>
      <c r="D673" s="44" t="s">
        <v>414</v>
      </c>
      <c r="E673" s="43" t="s">
        <v>329</v>
      </c>
      <c r="F673" t="s">
        <v>66</v>
      </c>
      <c r="G673">
        <v>283.73333199999996</v>
      </c>
      <c r="H673"/>
      <c r="N673" s="38">
        <f t="shared" si="10"/>
        <v>0</v>
      </c>
    </row>
    <row r="674" spans="1:14" x14ac:dyDescent="0.25">
      <c r="A674" t="s">
        <v>105</v>
      </c>
      <c r="B674" s="43" t="s">
        <v>107</v>
      </c>
      <c r="C674" s="62">
        <f>VLOOKUP(B674,合并仓明细!$D$2:$F$74,3,0)</f>
        <v>244</v>
      </c>
      <c r="D674" s="44" t="s">
        <v>414</v>
      </c>
      <c r="E674" s="43" t="s">
        <v>316</v>
      </c>
      <c r="F674" t="s">
        <v>66</v>
      </c>
      <c r="G674">
        <v>145.70900001000004</v>
      </c>
      <c r="H674">
        <v>0.14570900001000003</v>
      </c>
      <c r="I674" s="46"/>
      <c r="J674" s="37"/>
      <c r="K674" s="37"/>
      <c r="L674" s="37">
        <f>IF(H674&gt;30,QUOTIENT(H674,30)*VLOOKUP(D674,'报价表-配送'!$B$54:$I$58,8,0),0)+IF(AND(MOD(H674,30)&gt;18,MOD(H674,30)&lt;=30),1,0)*VLOOKUP(D674,'报价表-配送'!$B$54:$I$58,8,0)+IF(AND(MOD(H674,30)&gt;8,MOD(H674,30)&lt;=18),1*VLOOKUP(D674,'报价表-配送'!$B$54:$I$58,7,0),0)+IF(AND(MOD(H674,30)&lt;=8,MOD(H674,30)&gt;2.5),1,0)*VLOOKUP(D674,'报价表-配送'!$B$54:$I$58,6,0)+IF(AND(MOD(H674,30)&lt;=2.5,MOD(H674,30)&gt;=1.5),1,0)*VLOOKUP(D674,'报价表-配送'!$B$54:$I$58,5,0)</f>
        <v>0</v>
      </c>
      <c r="M674" s="39">
        <f>IF(AND(MOD(H674,30)&lt;1.5,MOD(H674,30)&gt;=0.5),H674,0)*VLOOKUP(D674,'报价表-配送'!$B$54:$I$58,4,0)*1000+IF(AND(MOD(H674,30)&lt;0.5,MOD(H674,30)&gt;=0.02),H674,0)*VLOOKUP(D674,'报价表-配送'!$B$54:$I$58,3,0)*1000+IF(AND(MOD(H674,30)&lt;0.02),H674,0)*VLOOKUP(D674,'报价表-配送'!$B$54:$I$58,2,0)*1000</f>
        <v>0</v>
      </c>
      <c r="N674" s="38">
        <f t="shared" si="10"/>
        <v>0</v>
      </c>
    </row>
    <row r="675" spans="1:14" x14ac:dyDescent="0.25">
      <c r="A675" t="s">
        <v>105</v>
      </c>
      <c r="B675" s="43" t="s">
        <v>107</v>
      </c>
      <c r="C675" s="62">
        <f>VLOOKUP(B675,合并仓明细!$D$2:$F$74,3,0)</f>
        <v>244</v>
      </c>
      <c r="D675" s="44" t="s">
        <v>414</v>
      </c>
      <c r="E675" s="43" t="s">
        <v>296</v>
      </c>
      <c r="F675" t="s">
        <v>66</v>
      </c>
      <c r="G675">
        <v>22.56</v>
      </c>
      <c r="H675">
        <v>2.256E-2</v>
      </c>
      <c r="L675" s="37">
        <f>IF(H675&gt;30,QUOTIENT(H675,30)*VLOOKUP(D675,'报价表-配送'!$B$54:$I$58,8,0),0)+IF(AND(MOD(H675,30)&gt;18,MOD(H675,30)&lt;=30),1,0)*VLOOKUP(D675,'报价表-配送'!$B$54:$I$58,8,0)+IF(AND(MOD(H675,30)&gt;8,MOD(H675,30)&lt;=18),1*VLOOKUP(D675,'报价表-配送'!$B$54:$I$58,7,0),0)+IF(AND(MOD(H675,30)&lt;=8,MOD(H675,30)&gt;2.5),1,0)*VLOOKUP(D675,'报价表-配送'!$B$54:$I$58,6,0)+IF(AND(MOD(H675,30)&lt;=2.5,MOD(H675,30)&gt;=1.5),1,0)*VLOOKUP(D675,'报价表-配送'!$B$54:$I$58,5,0)</f>
        <v>0</v>
      </c>
      <c r="M675" s="39">
        <f>IF(AND(MOD(H675,30)&lt;1.5,MOD(H675,30)&gt;=0.5),H675,0)*VLOOKUP(D675,'报价表-配送'!$B$54:$I$58,4,0)*1000+IF(AND(MOD(H675,30)&lt;0.5,MOD(H675,30)&gt;=0.02),H675,0)*VLOOKUP(D675,'报价表-配送'!$B$54:$I$58,3,0)*1000+IF(AND(MOD(H675,30)&lt;0.02),H675,0)*VLOOKUP(D675,'报价表-配送'!$B$54:$I$58,2,0)*1000</f>
        <v>0</v>
      </c>
      <c r="N675" s="38">
        <f t="shared" si="10"/>
        <v>0</v>
      </c>
    </row>
    <row r="676" spans="1:14" x14ac:dyDescent="0.25">
      <c r="A676" t="s">
        <v>105</v>
      </c>
      <c r="B676" s="43" t="s">
        <v>107</v>
      </c>
      <c r="C676" s="62">
        <f>VLOOKUP(B676,合并仓明细!$D$2:$F$74,3,0)</f>
        <v>244</v>
      </c>
      <c r="D676" s="44" t="s">
        <v>414</v>
      </c>
      <c r="E676" s="43" t="s">
        <v>301</v>
      </c>
      <c r="F676" t="s">
        <v>67</v>
      </c>
      <c r="G676">
        <v>360.55196999999998</v>
      </c>
      <c r="H676">
        <v>0.46440277434999994</v>
      </c>
      <c r="I676" s="38">
        <f>IF(H676&gt;30,QUOTIENT(H676,30)*VLOOKUP(D676,'报价表-配送'!$B$54:$I$58,8,0),0)+IF(AND(MOD(H676,30)&gt;18,MOD(H676,30)&lt;=30),1,0)*VLOOKUP(D676,'报价表-配送'!$B$54:$I$58,8,0)</f>
        <v>0</v>
      </c>
      <c r="J676" s="38">
        <f>IF(AND(MOD(H676,30)&gt;8,MOD(H676,30)&lt;=18),1*VLOOKUP(D676,'报价表-配送'!$B$54:$I$58,7,0),0)</f>
        <v>0</v>
      </c>
      <c r="K676" s="38">
        <f>IF(AND(MOD(H676,30)&lt;=8,MOD(H676,30)&gt;0),1,0)*VLOOKUP(D676,'报价表-配送'!$B$54:$I$58,6,0)</f>
        <v>0</v>
      </c>
      <c r="N676" s="38">
        <f t="shared" si="10"/>
        <v>0</v>
      </c>
    </row>
    <row r="677" spans="1:14" x14ac:dyDescent="0.25">
      <c r="A677" t="s">
        <v>105</v>
      </c>
      <c r="B677" s="43" t="s">
        <v>107</v>
      </c>
      <c r="C677" s="62">
        <f>VLOOKUP(B677,合并仓明细!$D$2:$F$74,3,0)</f>
        <v>244</v>
      </c>
      <c r="D677" s="44" t="s">
        <v>414</v>
      </c>
      <c r="E677" s="43" t="s">
        <v>301</v>
      </c>
      <c r="F677" t="s">
        <v>66</v>
      </c>
      <c r="G677">
        <v>103.85080435</v>
      </c>
      <c r="H677"/>
      <c r="I677" s="46"/>
      <c r="J677" s="37"/>
      <c r="K677" s="37"/>
      <c r="L677" s="37"/>
      <c r="M677" s="37"/>
      <c r="N677" s="38">
        <f t="shared" si="10"/>
        <v>0</v>
      </c>
    </row>
    <row r="678" spans="1:14" x14ac:dyDescent="0.25">
      <c r="A678" t="s">
        <v>105</v>
      </c>
      <c r="B678" s="43" t="s">
        <v>107</v>
      </c>
      <c r="C678" s="62">
        <f>VLOOKUP(B678,合并仓明细!$D$2:$F$74,3,0)</f>
        <v>244</v>
      </c>
      <c r="D678" s="44" t="s">
        <v>414</v>
      </c>
      <c r="E678" s="43" t="s">
        <v>330</v>
      </c>
      <c r="F678" t="s">
        <v>66</v>
      </c>
      <c r="G678" s="103">
        <v>1586.1008333299999</v>
      </c>
      <c r="H678" s="103">
        <v>1.58610083333</v>
      </c>
      <c r="L678" s="37">
        <f>IF(H678&gt;30,QUOTIENT(H678,30)*VLOOKUP(D678,'报价表-配送'!$B$54:$I$58,8,0),0)+IF(AND(MOD(H678,30)&gt;18,MOD(H678,30)&lt;=30),1,0)*VLOOKUP(D678,'报价表-配送'!$B$54:$I$58,8,0)+IF(AND(MOD(H678,30)&gt;8,MOD(H678,30)&lt;=18),1*VLOOKUP(D678,'报价表-配送'!$B$54:$I$58,7,0),0)+IF(AND(MOD(H678,30)&lt;=8,MOD(H678,30)&gt;2.5),1,0)*VLOOKUP(D678,'报价表-配送'!$B$54:$I$58,6,0)+IF(AND(MOD(H678,30)&lt;=2.5,MOD(H678,30)&gt;=1.5),1,0)*VLOOKUP(D678,'报价表-配送'!$B$54:$I$58,5,0)</f>
        <v>0</v>
      </c>
      <c r="M678" s="39">
        <f>IF(AND(MOD(H678,30)&lt;1.5,MOD(H678,30)&gt;=0.5),H678,0)*VLOOKUP(D678,'报价表-配送'!$B$54:$I$58,4,0)*1000+IF(AND(MOD(H678,30)&lt;0.5,MOD(H678,30)&gt;=0.02),H678,0)*VLOOKUP(D678,'报价表-配送'!$B$54:$I$58,3,0)*1000+IF(AND(MOD(H678,30)&lt;0.02),H678,0)*VLOOKUP(D678,'报价表-配送'!$B$54:$I$58,2,0)*1000</f>
        <v>0</v>
      </c>
      <c r="N678" s="38">
        <f t="shared" si="10"/>
        <v>0</v>
      </c>
    </row>
    <row r="679" spans="1:14" x14ac:dyDescent="0.25">
      <c r="A679" t="s">
        <v>105</v>
      </c>
      <c r="B679" s="43" t="s">
        <v>107</v>
      </c>
      <c r="C679" s="62">
        <f>VLOOKUP(B679,合并仓明细!$D$2:$F$74,3,0)</f>
        <v>244</v>
      </c>
      <c r="D679" s="44" t="s">
        <v>414</v>
      </c>
      <c r="E679" s="43" t="s">
        <v>331</v>
      </c>
      <c r="F679" t="s">
        <v>68</v>
      </c>
      <c r="G679">
        <v>369.00731999999999</v>
      </c>
      <c r="H679">
        <v>3.8004277886900004</v>
      </c>
      <c r="I679" s="46">
        <f>ROUNDUP(H679/30,0)*VLOOKUP(D679,'报价表-配送'!$B$54:$I$58,8,0)</f>
        <v>0</v>
      </c>
      <c r="L679" s="37"/>
      <c r="M679" s="39"/>
      <c r="N679" s="38">
        <f t="shared" si="10"/>
        <v>0</v>
      </c>
    </row>
    <row r="680" spans="1:14" x14ac:dyDescent="0.25">
      <c r="A680" t="s">
        <v>105</v>
      </c>
      <c r="B680" s="43" t="s">
        <v>107</v>
      </c>
      <c r="C680" s="62">
        <f>VLOOKUP(B680,合并仓明细!$D$2:$F$74,3,0)</f>
        <v>244</v>
      </c>
      <c r="D680" s="44" t="s">
        <v>414</v>
      </c>
      <c r="E680" s="43" t="s">
        <v>331</v>
      </c>
      <c r="F680" t="s">
        <v>67</v>
      </c>
      <c r="G680">
        <v>3127.8838920000003</v>
      </c>
      <c r="H680"/>
      <c r="L680" s="37"/>
      <c r="M680" s="39"/>
      <c r="N680" s="38">
        <f t="shared" si="10"/>
        <v>0</v>
      </c>
    </row>
    <row r="681" spans="1:14" x14ac:dyDescent="0.25">
      <c r="A681" t="s">
        <v>105</v>
      </c>
      <c r="B681" s="43" t="s">
        <v>107</v>
      </c>
      <c r="C681" s="62">
        <f>VLOOKUP(B681,合并仓明细!$D$2:$F$74,3,0)</f>
        <v>244</v>
      </c>
      <c r="D681" s="44" t="s">
        <v>414</v>
      </c>
      <c r="E681" s="43" t="s">
        <v>331</v>
      </c>
      <c r="F681" t="s">
        <v>66</v>
      </c>
      <c r="G681">
        <v>303.53657669</v>
      </c>
      <c r="H681"/>
      <c r="L681" s="37"/>
      <c r="M681" s="39"/>
      <c r="N681" s="38">
        <f t="shared" si="10"/>
        <v>0</v>
      </c>
    </row>
    <row r="682" spans="1:14" x14ac:dyDescent="0.25">
      <c r="A682" t="s">
        <v>105</v>
      </c>
      <c r="B682" s="43" t="s">
        <v>107</v>
      </c>
      <c r="C682" s="62">
        <f>VLOOKUP(B682,合并仓明细!$D$2:$F$74,3,0)</f>
        <v>244</v>
      </c>
      <c r="D682" s="44" t="s">
        <v>414</v>
      </c>
      <c r="E682" s="43" t="s">
        <v>332</v>
      </c>
      <c r="F682" t="s">
        <v>66</v>
      </c>
      <c r="G682">
        <v>5.875</v>
      </c>
      <c r="H682">
        <v>5.875E-3</v>
      </c>
      <c r="I682" s="46"/>
      <c r="J682" s="37"/>
      <c r="K682" s="37"/>
      <c r="L682" s="37">
        <f>IF(H682&gt;30,QUOTIENT(H682,30)*VLOOKUP(D682,'报价表-配送'!$B$54:$I$58,8,0),0)+IF(AND(MOD(H682,30)&gt;18,MOD(H682,30)&lt;=30),1,0)*VLOOKUP(D682,'报价表-配送'!$B$54:$I$58,8,0)+IF(AND(MOD(H682,30)&gt;8,MOD(H682,30)&lt;=18),1*VLOOKUP(D682,'报价表-配送'!$B$54:$I$58,7,0),0)+IF(AND(MOD(H682,30)&lt;=8,MOD(H682,30)&gt;2.5),1,0)*VLOOKUP(D682,'报价表-配送'!$B$54:$I$58,6,0)+IF(AND(MOD(H682,30)&lt;=2.5,MOD(H682,30)&gt;=1.5),1,0)*VLOOKUP(D682,'报价表-配送'!$B$54:$I$58,5,0)</f>
        <v>0</v>
      </c>
      <c r="M682" s="39">
        <f>IF(AND(MOD(H682,30)&lt;1.5,MOD(H682,30)&gt;=0.5),H682,0)*VLOOKUP(D682,'报价表-配送'!$B$54:$I$58,4,0)*1000+IF(AND(MOD(H682,30)&lt;0.5,MOD(H682,30)&gt;=0.02),H682,0)*VLOOKUP(D682,'报价表-配送'!$B$54:$I$58,3,0)*1000+IF(AND(MOD(H682,30)&lt;0.02),H682,0)*VLOOKUP(D682,'报价表-配送'!$B$54:$I$58,2,0)*1000</f>
        <v>0</v>
      </c>
      <c r="N682" s="38">
        <f t="shared" si="10"/>
        <v>0</v>
      </c>
    </row>
    <row r="683" spans="1:14" x14ac:dyDescent="0.25">
      <c r="A683" t="s">
        <v>105</v>
      </c>
      <c r="B683" s="43" t="s">
        <v>108</v>
      </c>
      <c r="C683" s="62">
        <f>VLOOKUP(B683,合并仓明细!$D$2:$F$74,3,0)</f>
        <v>38</v>
      </c>
      <c r="D683" t="s">
        <v>393</v>
      </c>
      <c r="E683" s="43" t="s">
        <v>261</v>
      </c>
      <c r="F683" t="s">
        <v>68</v>
      </c>
      <c r="G683">
        <v>77.471999999999994</v>
      </c>
      <c r="H683">
        <v>1.56353336363</v>
      </c>
      <c r="I683" s="46">
        <f>ROUNDUP(H683/30,0)*VLOOKUP(D683,'报价表-配送'!$B$54:$I$58,8,0)</f>
        <v>0</v>
      </c>
      <c r="N683" s="38">
        <f t="shared" si="10"/>
        <v>0</v>
      </c>
    </row>
    <row r="684" spans="1:14" x14ac:dyDescent="0.25">
      <c r="A684" t="s">
        <v>105</v>
      </c>
      <c r="B684" s="43" t="s">
        <v>108</v>
      </c>
      <c r="C684" s="62">
        <f>VLOOKUP(B684,合并仓明细!$D$2:$F$74,3,0)</f>
        <v>38</v>
      </c>
      <c r="D684" t="s">
        <v>393</v>
      </c>
      <c r="E684" s="43" t="s">
        <v>261</v>
      </c>
      <c r="F684" t="s">
        <v>67</v>
      </c>
      <c r="G684">
        <v>1188.54</v>
      </c>
      <c r="H684"/>
      <c r="I684" s="46"/>
      <c r="J684" s="37"/>
      <c r="K684" s="37"/>
      <c r="L684" s="37"/>
      <c r="M684" s="37"/>
      <c r="N684" s="38">
        <f t="shared" si="10"/>
        <v>0</v>
      </c>
    </row>
    <row r="685" spans="1:14" x14ac:dyDescent="0.25">
      <c r="A685" t="s">
        <v>105</v>
      </c>
      <c r="B685" s="43" t="s">
        <v>108</v>
      </c>
      <c r="C685" s="62">
        <f>VLOOKUP(B685,合并仓明细!$D$2:$F$74,3,0)</f>
        <v>38</v>
      </c>
      <c r="D685" t="s">
        <v>393</v>
      </c>
      <c r="E685" s="43" t="s">
        <v>261</v>
      </c>
      <c r="F685" t="s">
        <v>66</v>
      </c>
      <c r="G685">
        <v>297.52136362999994</v>
      </c>
      <c r="H685"/>
      <c r="N685" s="38">
        <f t="shared" si="10"/>
        <v>0</v>
      </c>
    </row>
    <row r="686" spans="1:14" x14ac:dyDescent="0.25">
      <c r="A686" t="s">
        <v>105</v>
      </c>
      <c r="B686" s="43" t="s">
        <v>108</v>
      </c>
      <c r="C686" s="62">
        <f>VLOOKUP(B686,合并仓明细!$D$2:$F$74,3,0)</f>
        <v>38</v>
      </c>
      <c r="D686" t="s">
        <v>393</v>
      </c>
      <c r="E686" s="43" t="s">
        <v>264</v>
      </c>
      <c r="F686" t="s">
        <v>66</v>
      </c>
      <c r="G686">
        <v>308.50000001000001</v>
      </c>
      <c r="H686">
        <v>0.30850000001</v>
      </c>
      <c r="L686" s="37">
        <f>IF(H686&gt;30,QUOTIENT(H686,30)*VLOOKUP(D686,'报价表-配送'!$B$54:$I$58,8,0),0)+IF(AND(MOD(H686,30)&gt;18,MOD(H686,30)&lt;=30),1,0)*VLOOKUP(D686,'报价表-配送'!$B$54:$I$58,8,0)+IF(AND(MOD(H686,30)&gt;8,MOD(H686,30)&lt;=18),1*VLOOKUP(D686,'报价表-配送'!$B$54:$I$58,7,0),0)+IF(AND(MOD(H686,30)&lt;=8,MOD(H686,30)&gt;2.5),1,0)*VLOOKUP(D686,'报价表-配送'!$B$54:$I$58,6,0)+IF(AND(MOD(H686,30)&lt;=2.5,MOD(H686,30)&gt;=1.5),1,0)*VLOOKUP(D686,'报价表-配送'!$B$54:$I$58,5,0)</f>
        <v>0</v>
      </c>
      <c r="M686" s="39">
        <f>IF(AND(MOD(H686,30)&lt;1.5,MOD(H686,30)&gt;=0.5),H686,0)*VLOOKUP(D686,'报价表-配送'!$B$54:$I$58,4,0)*1000+IF(AND(MOD(H686,30)&lt;0.5,MOD(H686,30)&gt;=0.02),H686,0)*VLOOKUP(D686,'报价表-配送'!$B$54:$I$58,3,0)*1000+IF(AND(MOD(H686,30)&lt;0.02),H686,0)*VLOOKUP(D686,'报价表-配送'!$B$54:$I$58,2,0)*1000</f>
        <v>0</v>
      </c>
      <c r="N686" s="38">
        <f t="shared" si="10"/>
        <v>0</v>
      </c>
    </row>
    <row r="687" spans="1:14" x14ac:dyDescent="0.25">
      <c r="A687" t="s">
        <v>105</v>
      </c>
      <c r="B687" s="43" t="s">
        <v>108</v>
      </c>
      <c r="C687" s="62">
        <f>VLOOKUP(B687,合并仓明细!$D$2:$F$74,3,0)</f>
        <v>38</v>
      </c>
      <c r="D687" t="s">
        <v>393</v>
      </c>
      <c r="E687" s="43" t="s">
        <v>333</v>
      </c>
      <c r="F687" t="s">
        <v>68</v>
      </c>
      <c r="G687">
        <v>437.76</v>
      </c>
      <c r="H687">
        <v>2.9702624641200002</v>
      </c>
      <c r="I687" s="46">
        <f>ROUNDUP(H687/30,0)*VLOOKUP(D687,'报价表-配送'!$B$54:$I$58,8,0)</f>
        <v>0</v>
      </c>
      <c r="L687" s="37"/>
      <c r="M687" s="39"/>
      <c r="N687" s="38">
        <f t="shared" si="10"/>
        <v>0</v>
      </c>
    </row>
    <row r="688" spans="1:14" x14ac:dyDescent="0.25">
      <c r="A688" t="s">
        <v>105</v>
      </c>
      <c r="B688" s="43" t="s">
        <v>108</v>
      </c>
      <c r="C688" s="62">
        <f>VLOOKUP(B688,合并仓明细!$D$2:$F$74,3,0)</f>
        <v>38</v>
      </c>
      <c r="D688" t="s">
        <v>393</v>
      </c>
      <c r="E688" s="43" t="s">
        <v>333</v>
      </c>
      <c r="F688" t="s">
        <v>67</v>
      </c>
      <c r="G688">
        <v>1805.8229999999999</v>
      </c>
      <c r="H688"/>
      <c r="L688" s="37"/>
      <c r="M688" s="39"/>
      <c r="N688" s="38">
        <f t="shared" si="10"/>
        <v>0</v>
      </c>
    </row>
    <row r="689" spans="1:14" x14ac:dyDescent="0.25">
      <c r="A689" t="s">
        <v>105</v>
      </c>
      <c r="B689" s="43" t="s">
        <v>108</v>
      </c>
      <c r="C689" s="62">
        <f>VLOOKUP(B689,合并仓明细!$D$2:$F$74,3,0)</f>
        <v>38</v>
      </c>
      <c r="D689" t="s">
        <v>393</v>
      </c>
      <c r="E689" s="43" t="s">
        <v>333</v>
      </c>
      <c r="F689" t="s">
        <v>66</v>
      </c>
      <c r="G689">
        <v>726.67946412000015</v>
      </c>
      <c r="H689"/>
      <c r="L689" s="37"/>
      <c r="M689" s="39"/>
      <c r="N689" s="38">
        <f t="shared" si="10"/>
        <v>0</v>
      </c>
    </row>
    <row r="690" spans="1:14" x14ac:dyDescent="0.25">
      <c r="A690" t="s">
        <v>105</v>
      </c>
      <c r="B690" s="43" t="s">
        <v>108</v>
      </c>
      <c r="C690" s="62">
        <f>VLOOKUP(B690,合并仓明细!$D$2:$F$74,3,0)</f>
        <v>38</v>
      </c>
      <c r="D690" t="s">
        <v>393</v>
      </c>
      <c r="E690" s="43" t="s">
        <v>334</v>
      </c>
      <c r="F690" t="s">
        <v>68</v>
      </c>
      <c r="G690">
        <v>1903.296</v>
      </c>
      <c r="H690">
        <v>5.6911966666599998</v>
      </c>
      <c r="I690" s="46">
        <f>ROUNDUP(H690/30,0)*VLOOKUP(D690,'报价表-配送'!$B$54:$I$58,8,0)</f>
        <v>0</v>
      </c>
      <c r="J690" s="37"/>
      <c r="K690" s="37"/>
      <c r="L690" s="37"/>
      <c r="M690" s="37"/>
      <c r="N690" s="38">
        <f t="shared" si="10"/>
        <v>0</v>
      </c>
    </row>
    <row r="691" spans="1:14" x14ac:dyDescent="0.25">
      <c r="A691" t="s">
        <v>105</v>
      </c>
      <c r="B691" s="43" t="s">
        <v>108</v>
      </c>
      <c r="C691" s="62">
        <f>VLOOKUP(B691,合并仓明细!$D$2:$F$74,3,0)</f>
        <v>38</v>
      </c>
      <c r="D691" t="s">
        <v>393</v>
      </c>
      <c r="E691" s="43" t="s">
        <v>334</v>
      </c>
      <c r="F691" t="s">
        <v>67</v>
      </c>
      <c r="G691">
        <v>2884.9900000000002</v>
      </c>
      <c r="H691"/>
      <c r="N691" s="38">
        <f t="shared" si="10"/>
        <v>0</v>
      </c>
    </row>
    <row r="692" spans="1:14" x14ac:dyDescent="0.25">
      <c r="A692" t="s">
        <v>105</v>
      </c>
      <c r="B692" s="43" t="s">
        <v>108</v>
      </c>
      <c r="C692" s="62">
        <f>VLOOKUP(B692,合并仓明细!$D$2:$F$74,3,0)</f>
        <v>38</v>
      </c>
      <c r="D692" t="s">
        <v>393</v>
      </c>
      <c r="E692" s="43" t="s">
        <v>334</v>
      </c>
      <c r="F692" t="s">
        <v>66</v>
      </c>
      <c r="G692">
        <v>902.91066665999995</v>
      </c>
      <c r="H692"/>
      <c r="N692" s="38">
        <f t="shared" si="10"/>
        <v>0</v>
      </c>
    </row>
    <row r="693" spans="1:14" x14ac:dyDescent="0.25">
      <c r="A693" t="s">
        <v>105</v>
      </c>
      <c r="B693" s="43" t="s">
        <v>108</v>
      </c>
      <c r="C693" s="62">
        <f>VLOOKUP(B693,合并仓明细!$D$2:$F$74,3,0)</f>
        <v>38</v>
      </c>
      <c r="D693" t="s">
        <v>393</v>
      </c>
      <c r="E693" s="43" t="s">
        <v>258</v>
      </c>
      <c r="F693" t="s">
        <v>68</v>
      </c>
      <c r="G693">
        <v>271.65600000000001</v>
      </c>
      <c r="H693">
        <v>4.6081744086700001</v>
      </c>
      <c r="I693" s="46">
        <f>ROUNDUP(H693/30,0)*VLOOKUP(D693,'报价表-配送'!$B$54:$I$58,8,0)</f>
        <v>0</v>
      </c>
      <c r="J693" s="37"/>
      <c r="K693" s="37"/>
      <c r="L693" s="37"/>
      <c r="M693" s="37"/>
      <c r="N693" s="38">
        <f t="shared" si="10"/>
        <v>0</v>
      </c>
    </row>
    <row r="694" spans="1:14" x14ac:dyDescent="0.25">
      <c r="A694" t="s">
        <v>105</v>
      </c>
      <c r="B694" s="43" t="s">
        <v>108</v>
      </c>
      <c r="C694" s="62">
        <f>VLOOKUP(B694,合并仓明细!$D$2:$F$74,3,0)</f>
        <v>38</v>
      </c>
      <c r="D694" t="s">
        <v>393</v>
      </c>
      <c r="E694" s="43" t="s">
        <v>258</v>
      </c>
      <c r="F694" t="s">
        <v>67</v>
      </c>
      <c r="G694">
        <v>3801.0142420000002</v>
      </c>
      <c r="H694"/>
      <c r="N694" s="38">
        <f t="shared" si="10"/>
        <v>0</v>
      </c>
    </row>
    <row r="695" spans="1:14" x14ac:dyDescent="0.25">
      <c r="A695" t="s">
        <v>105</v>
      </c>
      <c r="B695" s="43" t="s">
        <v>108</v>
      </c>
      <c r="C695" s="62">
        <f>VLOOKUP(B695,合并仓明细!$D$2:$F$74,3,0)</f>
        <v>38</v>
      </c>
      <c r="D695" t="s">
        <v>393</v>
      </c>
      <c r="E695" s="43" t="s">
        <v>258</v>
      </c>
      <c r="F695" t="s">
        <v>66</v>
      </c>
      <c r="G695">
        <v>535.50416667000002</v>
      </c>
      <c r="H695"/>
      <c r="I695" s="38"/>
      <c r="J695" s="38"/>
      <c r="K695" s="38"/>
      <c r="L695" s="37"/>
      <c r="M695" s="37"/>
      <c r="N695" s="38">
        <f t="shared" si="10"/>
        <v>0</v>
      </c>
    </row>
    <row r="696" spans="1:14" x14ac:dyDescent="0.25">
      <c r="A696" t="s">
        <v>105</v>
      </c>
      <c r="B696" s="43" t="s">
        <v>108</v>
      </c>
      <c r="C696" s="62">
        <f>VLOOKUP(B696,合并仓明细!$D$2:$F$74,3,0)</f>
        <v>38</v>
      </c>
      <c r="D696" t="s">
        <v>393</v>
      </c>
      <c r="E696" s="43" t="s">
        <v>335</v>
      </c>
      <c r="F696" t="s">
        <v>66</v>
      </c>
      <c r="G696">
        <v>47.44</v>
      </c>
      <c r="H696">
        <v>4.7439999999999996E-2</v>
      </c>
      <c r="L696" s="37">
        <f>IF(H696&gt;30,QUOTIENT(H696,30)*VLOOKUP(D696,'报价表-配送'!$B$54:$I$58,8,0),0)+IF(AND(MOD(H696,30)&gt;18,MOD(H696,30)&lt;=30),1,0)*VLOOKUP(D696,'报价表-配送'!$B$54:$I$58,8,0)+IF(AND(MOD(H696,30)&gt;8,MOD(H696,30)&lt;=18),1*VLOOKUP(D696,'报价表-配送'!$B$54:$I$58,7,0),0)+IF(AND(MOD(H696,30)&lt;=8,MOD(H696,30)&gt;2.5),1,0)*VLOOKUP(D696,'报价表-配送'!$B$54:$I$58,6,0)+IF(AND(MOD(H696,30)&lt;=2.5,MOD(H696,30)&gt;=1.5),1,0)*VLOOKUP(D696,'报价表-配送'!$B$54:$I$58,5,0)</f>
        <v>0</v>
      </c>
      <c r="M696" s="39">
        <f>IF(AND(MOD(H696,30)&lt;1.5,MOD(H696,30)&gt;=0.5),H696,0)*VLOOKUP(D696,'报价表-配送'!$B$54:$I$58,4,0)*1000+IF(AND(MOD(H696,30)&lt;0.5,MOD(H696,30)&gt;=0.02),H696,0)*VLOOKUP(D696,'报价表-配送'!$B$54:$I$58,3,0)*1000+IF(AND(MOD(H696,30)&lt;0.02),H696,0)*VLOOKUP(D696,'报价表-配送'!$B$54:$I$58,2,0)*1000</f>
        <v>0</v>
      </c>
      <c r="N696" s="38">
        <f t="shared" si="10"/>
        <v>0</v>
      </c>
    </row>
    <row r="697" spans="1:14" x14ac:dyDescent="0.25">
      <c r="A697" t="s">
        <v>105</v>
      </c>
      <c r="B697" s="43" t="s">
        <v>108</v>
      </c>
      <c r="C697" s="62">
        <f>VLOOKUP(B697,合并仓明细!$D$2:$F$74,3,0)</f>
        <v>38</v>
      </c>
      <c r="D697" t="s">
        <v>393</v>
      </c>
      <c r="E697" s="43" t="s">
        <v>271</v>
      </c>
      <c r="F697" t="s">
        <v>66</v>
      </c>
      <c r="G697">
        <v>229.01017854999998</v>
      </c>
      <c r="H697">
        <v>0.22901017854999997</v>
      </c>
      <c r="I697" s="46"/>
      <c r="J697" s="37"/>
      <c r="K697" s="37"/>
      <c r="L697" s="37">
        <f>IF(H697&gt;30,QUOTIENT(H697,30)*VLOOKUP(D697,'报价表-配送'!$B$54:$I$58,8,0),0)+IF(AND(MOD(H697,30)&gt;18,MOD(H697,30)&lt;=30),1,0)*VLOOKUP(D697,'报价表-配送'!$B$54:$I$58,8,0)+IF(AND(MOD(H697,30)&gt;8,MOD(H697,30)&lt;=18),1*VLOOKUP(D697,'报价表-配送'!$B$54:$I$58,7,0),0)+IF(AND(MOD(H697,30)&lt;=8,MOD(H697,30)&gt;2.5),1,0)*VLOOKUP(D697,'报价表-配送'!$B$54:$I$58,6,0)+IF(AND(MOD(H697,30)&lt;=2.5,MOD(H697,30)&gt;=1.5),1,0)*VLOOKUP(D697,'报价表-配送'!$B$54:$I$58,5,0)</f>
        <v>0</v>
      </c>
      <c r="M697" s="39">
        <f>IF(AND(MOD(H697,30)&lt;1.5,MOD(H697,30)&gt;=0.5),H697,0)*VLOOKUP(D697,'报价表-配送'!$B$54:$I$58,4,0)*1000+IF(AND(MOD(H697,30)&lt;0.5,MOD(H697,30)&gt;=0.02),H697,0)*VLOOKUP(D697,'报价表-配送'!$B$54:$I$58,3,0)*1000+IF(AND(MOD(H697,30)&lt;0.02),H697,0)*VLOOKUP(D697,'报价表-配送'!$B$54:$I$58,2,0)*1000</f>
        <v>0</v>
      </c>
      <c r="N697" s="38">
        <f t="shared" si="10"/>
        <v>0</v>
      </c>
    </row>
    <row r="698" spans="1:14" x14ac:dyDescent="0.25">
      <c r="A698" t="s">
        <v>105</v>
      </c>
      <c r="B698" s="43" t="s">
        <v>108</v>
      </c>
      <c r="C698" s="62">
        <f>VLOOKUP(B698,合并仓明细!$D$2:$F$74,3,0)</f>
        <v>38</v>
      </c>
      <c r="D698" t="s">
        <v>393</v>
      </c>
      <c r="E698" s="43" t="s">
        <v>259</v>
      </c>
      <c r="F698" t="s">
        <v>68</v>
      </c>
      <c r="G698">
        <v>2722.7547599999998</v>
      </c>
      <c r="H698">
        <v>4.0773664266200003</v>
      </c>
      <c r="I698" s="46">
        <f>ROUNDUP(H698/30,0)*VLOOKUP(D698,'报价表-配送'!$B$54:$I$58,8,0)</f>
        <v>0</v>
      </c>
      <c r="N698" s="38">
        <f t="shared" si="10"/>
        <v>0</v>
      </c>
    </row>
    <row r="699" spans="1:14" x14ac:dyDescent="0.25">
      <c r="A699" t="s">
        <v>105</v>
      </c>
      <c r="B699" s="43" t="s">
        <v>108</v>
      </c>
      <c r="C699" s="62">
        <f>VLOOKUP(B699,合并仓明细!$D$2:$F$74,3,0)</f>
        <v>38</v>
      </c>
      <c r="D699" t="s">
        <v>393</v>
      </c>
      <c r="E699" s="43" t="s">
        <v>259</v>
      </c>
      <c r="F699" t="s">
        <v>67</v>
      </c>
      <c r="G699">
        <v>552.41999999999996</v>
      </c>
      <c r="H699"/>
      <c r="N699" s="38">
        <f t="shared" si="10"/>
        <v>0</v>
      </c>
    </row>
    <row r="700" spans="1:14" x14ac:dyDescent="0.25">
      <c r="A700" t="s">
        <v>105</v>
      </c>
      <c r="B700" s="43" t="s">
        <v>108</v>
      </c>
      <c r="C700" s="62">
        <f>VLOOKUP(B700,合并仓明细!$D$2:$F$74,3,0)</f>
        <v>38</v>
      </c>
      <c r="D700" t="s">
        <v>393</v>
      </c>
      <c r="E700" s="43" t="s">
        <v>259</v>
      </c>
      <c r="F700" t="s">
        <v>66</v>
      </c>
      <c r="G700">
        <v>802.19166661999998</v>
      </c>
      <c r="H700"/>
      <c r="I700" s="38"/>
      <c r="J700" s="38"/>
      <c r="K700" s="38"/>
      <c r="L700" s="37"/>
      <c r="M700" s="37"/>
      <c r="N700" s="38">
        <f t="shared" si="10"/>
        <v>0</v>
      </c>
    </row>
    <row r="701" spans="1:14" x14ac:dyDescent="0.25">
      <c r="A701" t="s">
        <v>105</v>
      </c>
      <c r="B701" s="43" t="s">
        <v>108</v>
      </c>
      <c r="C701" s="62">
        <f>VLOOKUP(B701,合并仓明细!$D$2:$F$74,3,0)</f>
        <v>38</v>
      </c>
      <c r="D701" t="s">
        <v>393</v>
      </c>
      <c r="E701" s="43" t="s">
        <v>336</v>
      </c>
      <c r="F701" t="s">
        <v>68</v>
      </c>
      <c r="G701">
        <v>103.29600000000001</v>
      </c>
      <c r="H701">
        <v>14.559647666620002</v>
      </c>
      <c r="I701" s="46">
        <f>ROUNDUP(H701/30,0)*VLOOKUP(D701,'报价表-配送'!$B$54:$I$58,8,0)</f>
        <v>0</v>
      </c>
      <c r="N701" s="38">
        <f t="shared" si="10"/>
        <v>0</v>
      </c>
    </row>
    <row r="702" spans="1:14" x14ac:dyDescent="0.25">
      <c r="A702" t="s">
        <v>105</v>
      </c>
      <c r="B702" s="43" t="s">
        <v>108</v>
      </c>
      <c r="C702" s="62">
        <f>VLOOKUP(B702,合并仓明细!$D$2:$F$74,3,0)</f>
        <v>38</v>
      </c>
      <c r="D702" t="s">
        <v>393</v>
      </c>
      <c r="E702" s="43" t="s">
        <v>336</v>
      </c>
      <c r="F702" t="s">
        <v>67</v>
      </c>
      <c r="G702">
        <v>13649.100000000002</v>
      </c>
      <c r="H702"/>
      <c r="L702" s="37"/>
      <c r="M702" s="39"/>
      <c r="N702" s="38">
        <f t="shared" si="10"/>
        <v>0</v>
      </c>
    </row>
    <row r="703" spans="1:14" x14ac:dyDescent="0.25">
      <c r="A703" t="s">
        <v>105</v>
      </c>
      <c r="B703" s="43" t="s">
        <v>108</v>
      </c>
      <c r="C703" s="62">
        <f>VLOOKUP(B703,合并仓明细!$D$2:$F$74,3,0)</f>
        <v>38</v>
      </c>
      <c r="D703" t="s">
        <v>393</v>
      </c>
      <c r="E703" s="43" t="s">
        <v>336</v>
      </c>
      <c r="F703" t="s">
        <v>66</v>
      </c>
      <c r="G703">
        <v>807.25166661999981</v>
      </c>
      <c r="H703"/>
      <c r="I703" s="38"/>
      <c r="J703" s="38"/>
      <c r="K703" s="38"/>
      <c r="L703" s="37"/>
      <c r="M703" s="37"/>
      <c r="N703" s="38">
        <f t="shared" si="10"/>
        <v>0</v>
      </c>
    </row>
    <row r="704" spans="1:14" x14ac:dyDescent="0.25">
      <c r="A704" t="s">
        <v>105</v>
      </c>
      <c r="B704" s="43" t="s">
        <v>108</v>
      </c>
      <c r="C704" s="62">
        <f>VLOOKUP(B704,合并仓明细!$D$2:$F$74,3,0)</f>
        <v>38</v>
      </c>
      <c r="D704" t="s">
        <v>393</v>
      </c>
      <c r="E704" s="43" t="s">
        <v>276</v>
      </c>
      <c r="F704" t="s">
        <v>68</v>
      </c>
      <c r="G704">
        <v>739.2</v>
      </c>
      <c r="H704">
        <v>1.41641213194</v>
      </c>
      <c r="I704" s="46">
        <f>ROUNDUP(H704/30,0)*VLOOKUP(D704,'报价表-配送'!$B$54:$I$58,8,0)</f>
        <v>0</v>
      </c>
      <c r="J704" s="38"/>
      <c r="K704" s="38"/>
      <c r="L704" s="37"/>
      <c r="M704" s="37"/>
      <c r="N704" s="38">
        <f t="shared" si="10"/>
        <v>0</v>
      </c>
    </row>
    <row r="705" spans="1:14" x14ac:dyDescent="0.25">
      <c r="A705" t="s">
        <v>105</v>
      </c>
      <c r="B705" s="43" t="s">
        <v>108</v>
      </c>
      <c r="C705" s="62">
        <f>VLOOKUP(B705,合并仓明细!$D$2:$F$74,3,0)</f>
        <v>38</v>
      </c>
      <c r="D705" t="s">
        <v>393</v>
      </c>
      <c r="E705" s="43" t="s">
        <v>276</v>
      </c>
      <c r="F705" t="s">
        <v>67</v>
      </c>
      <c r="G705">
        <v>251.1</v>
      </c>
      <c r="H705"/>
      <c r="N705" s="38">
        <f t="shared" si="10"/>
        <v>0</v>
      </c>
    </row>
    <row r="706" spans="1:14" x14ac:dyDescent="0.25">
      <c r="A706" t="s">
        <v>105</v>
      </c>
      <c r="B706" s="43" t="s">
        <v>108</v>
      </c>
      <c r="C706" s="62">
        <f>VLOOKUP(B706,合并仓明细!$D$2:$F$74,3,0)</f>
        <v>38</v>
      </c>
      <c r="D706" t="s">
        <v>393</v>
      </c>
      <c r="E706" s="43" t="s">
        <v>276</v>
      </c>
      <c r="F706" t="s">
        <v>66</v>
      </c>
      <c r="G706">
        <v>426.11213194000004</v>
      </c>
      <c r="H706"/>
      <c r="L706" s="37"/>
      <c r="M706" s="39"/>
      <c r="N706" s="38">
        <f t="shared" si="10"/>
        <v>0</v>
      </c>
    </row>
    <row r="707" spans="1:14" x14ac:dyDescent="0.25">
      <c r="A707" t="s">
        <v>105</v>
      </c>
      <c r="B707" s="43" t="s">
        <v>108</v>
      </c>
      <c r="C707" s="62">
        <f>VLOOKUP(B707,合并仓明细!$D$2:$F$74,3,0)</f>
        <v>38</v>
      </c>
      <c r="D707" t="s">
        <v>393</v>
      </c>
      <c r="E707" s="43" t="s">
        <v>337</v>
      </c>
      <c r="F707" t="s">
        <v>68</v>
      </c>
      <c r="G707">
        <v>440.47379999999998</v>
      </c>
      <c r="H707">
        <v>2.93612053333</v>
      </c>
      <c r="I707" s="46">
        <f>ROUNDUP(H707/30,0)*VLOOKUP(D707,'报价表-配送'!$B$54:$I$58,8,0)</f>
        <v>0</v>
      </c>
      <c r="L707" s="37"/>
      <c r="M707" s="39"/>
      <c r="N707" s="38">
        <f t="shared" si="10"/>
        <v>0</v>
      </c>
    </row>
    <row r="708" spans="1:14" x14ac:dyDescent="0.25">
      <c r="A708" t="s">
        <v>105</v>
      </c>
      <c r="B708" s="43" t="s">
        <v>108</v>
      </c>
      <c r="C708" s="62">
        <f>VLOOKUP(B708,合并仓明细!$D$2:$F$74,3,0)</f>
        <v>38</v>
      </c>
      <c r="D708" t="s">
        <v>393</v>
      </c>
      <c r="E708" s="43" t="s">
        <v>337</v>
      </c>
      <c r="F708" t="s">
        <v>67</v>
      </c>
      <c r="G708">
        <v>1827.3144</v>
      </c>
      <c r="H708"/>
      <c r="I708" s="38"/>
      <c r="J708" s="38"/>
      <c r="K708" s="38"/>
      <c r="L708" s="37"/>
      <c r="M708" s="37"/>
      <c r="N708" s="38">
        <f t="shared" si="10"/>
        <v>0</v>
      </c>
    </row>
    <row r="709" spans="1:14" x14ac:dyDescent="0.25">
      <c r="A709" t="s">
        <v>105</v>
      </c>
      <c r="B709" s="43" t="s">
        <v>108</v>
      </c>
      <c r="C709" s="62">
        <f>VLOOKUP(B709,合并仓明细!$D$2:$F$74,3,0)</f>
        <v>38</v>
      </c>
      <c r="D709" t="s">
        <v>393</v>
      </c>
      <c r="E709" s="43" t="s">
        <v>337</v>
      </c>
      <c r="F709" t="s">
        <v>66</v>
      </c>
      <c r="G709">
        <v>668.33233332999998</v>
      </c>
      <c r="H709"/>
      <c r="N709" s="38">
        <f t="shared" si="10"/>
        <v>0</v>
      </c>
    </row>
    <row r="710" spans="1:14" x14ac:dyDescent="0.25">
      <c r="A710" t="s">
        <v>105</v>
      </c>
      <c r="B710" s="43" t="s">
        <v>108</v>
      </c>
      <c r="C710" s="62">
        <f>VLOOKUP(B710,合并仓明细!$D$2:$F$74,3,0)</f>
        <v>38</v>
      </c>
      <c r="D710" t="s">
        <v>393</v>
      </c>
      <c r="E710" s="43" t="s">
        <v>246</v>
      </c>
      <c r="F710" t="s">
        <v>68</v>
      </c>
      <c r="G710">
        <v>96.134544000000005</v>
      </c>
      <c r="H710">
        <v>1.6287487106500003</v>
      </c>
      <c r="I710" s="46">
        <f>ROUNDUP(H710/30,0)*VLOOKUP(D710,'报价表-配送'!$B$54:$I$58,8,0)</f>
        <v>0</v>
      </c>
      <c r="L710" s="37"/>
      <c r="M710" s="39"/>
      <c r="N710" s="38">
        <f t="shared" si="10"/>
        <v>0</v>
      </c>
    </row>
    <row r="711" spans="1:14" x14ac:dyDescent="0.25">
      <c r="A711" t="s">
        <v>105</v>
      </c>
      <c r="B711" s="43" t="s">
        <v>108</v>
      </c>
      <c r="C711" s="62">
        <f>VLOOKUP(B711,合并仓明细!$D$2:$F$74,3,0)</f>
        <v>38</v>
      </c>
      <c r="D711" t="s">
        <v>393</v>
      </c>
      <c r="E711" s="43" t="s">
        <v>246</v>
      </c>
      <c r="F711" t="s">
        <v>67</v>
      </c>
      <c r="G711">
        <v>647.04</v>
      </c>
      <c r="H711"/>
      <c r="I711" s="38"/>
      <c r="J711" s="38"/>
      <c r="K711" s="38"/>
      <c r="L711" s="37"/>
      <c r="M711" s="37"/>
      <c r="N711" s="38">
        <f t="shared" si="10"/>
        <v>0</v>
      </c>
    </row>
    <row r="712" spans="1:14" x14ac:dyDescent="0.25">
      <c r="A712" t="s">
        <v>105</v>
      </c>
      <c r="B712" s="45" t="s">
        <v>108</v>
      </c>
      <c r="C712" s="62">
        <f>VLOOKUP(B712,合并仓明细!$D$2:$F$74,3,0)</f>
        <v>38</v>
      </c>
      <c r="D712" t="s">
        <v>393</v>
      </c>
      <c r="E712" s="43" t="s">
        <v>246</v>
      </c>
      <c r="F712" t="s">
        <v>66</v>
      </c>
      <c r="G712">
        <v>885.57416665000017</v>
      </c>
      <c r="H712"/>
      <c r="N712" s="38">
        <f t="shared" si="10"/>
        <v>0</v>
      </c>
    </row>
    <row r="713" spans="1:14" x14ac:dyDescent="0.25">
      <c r="A713" t="s">
        <v>105</v>
      </c>
      <c r="B713" s="44" t="s">
        <v>108</v>
      </c>
      <c r="C713" s="62">
        <f>VLOOKUP(B713,合并仓明细!$D$2:$F$74,3,0)</f>
        <v>38</v>
      </c>
      <c r="D713" t="s">
        <v>393</v>
      </c>
      <c r="E713" s="43" t="s">
        <v>338</v>
      </c>
      <c r="F713" t="s">
        <v>67</v>
      </c>
      <c r="G713">
        <v>9164.5420020000001</v>
      </c>
      <c r="H713">
        <v>9.332610335330001</v>
      </c>
      <c r="I713" s="38">
        <f>IF(H713&gt;30,QUOTIENT(H713,30)*VLOOKUP(D713,'报价表-配送'!$B$54:$I$58,8,0),0)+IF(AND(MOD(H713,30)&gt;18,MOD(H713,30)&lt;=30),1,0)*VLOOKUP(D713,'报价表-配送'!$B$54:$I$58,8,0)</f>
        <v>0</v>
      </c>
      <c r="J713" s="38">
        <f>IF(AND(MOD(H713,30)&gt;8,MOD(H713,30)&lt;=18),1*VLOOKUP(D713,'报价表-配送'!$B$54:$I$58,7,0),0)</f>
        <v>0</v>
      </c>
      <c r="K713" s="38">
        <f>IF(AND(MOD(H713,30)&lt;=8,MOD(H713,30)&gt;0),1,0)*VLOOKUP(D713,'报价表-配送'!$B$54:$I$58,6,0)</f>
        <v>0</v>
      </c>
      <c r="L713" s="37"/>
      <c r="M713" s="39"/>
      <c r="N713" s="38">
        <f t="shared" si="10"/>
        <v>0</v>
      </c>
    </row>
    <row r="714" spans="1:14" x14ac:dyDescent="0.25">
      <c r="A714" t="s">
        <v>105</v>
      </c>
      <c r="B714" s="43" t="s">
        <v>108</v>
      </c>
      <c r="C714" s="62">
        <f>VLOOKUP(B714,合并仓明细!$D$2:$F$74,3,0)</f>
        <v>38</v>
      </c>
      <c r="D714" t="s">
        <v>393</v>
      </c>
      <c r="E714" s="43" t="s">
        <v>338</v>
      </c>
      <c r="F714" t="s">
        <v>66</v>
      </c>
      <c r="G714">
        <v>168.06833333000003</v>
      </c>
      <c r="H714"/>
      <c r="L714" s="37"/>
      <c r="M714" s="39"/>
      <c r="N714" s="38">
        <f t="shared" si="10"/>
        <v>0</v>
      </c>
    </row>
    <row r="715" spans="1:14" x14ac:dyDescent="0.25">
      <c r="A715" t="s">
        <v>105</v>
      </c>
      <c r="B715" s="43" t="s">
        <v>108</v>
      </c>
      <c r="C715" s="62">
        <f>VLOOKUP(B715,合并仓明细!$D$2:$F$74,3,0)</f>
        <v>38</v>
      </c>
      <c r="D715" t="s">
        <v>393</v>
      </c>
      <c r="E715" s="43" t="s">
        <v>339</v>
      </c>
      <c r="F715" t="s">
        <v>66</v>
      </c>
      <c r="G715">
        <v>12.8</v>
      </c>
      <c r="H715">
        <v>1.2800000000000001E-2</v>
      </c>
      <c r="I715" s="46"/>
      <c r="J715" s="37"/>
      <c r="K715" s="37"/>
      <c r="L715" s="37">
        <f>IF(H715&gt;30,QUOTIENT(H715,30)*VLOOKUP(D715,'报价表-配送'!$B$54:$I$58,8,0),0)+IF(AND(MOD(H715,30)&gt;18,MOD(H715,30)&lt;=30),1,0)*VLOOKUP(D715,'报价表-配送'!$B$54:$I$58,8,0)+IF(AND(MOD(H715,30)&gt;8,MOD(H715,30)&lt;=18),1*VLOOKUP(D715,'报价表-配送'!$B$54:$I$58,7,0),0)+IF(AND(MOD(H715,30)&lt;=8,MOD(H715,30)&gt;2.5),1,0)*VLOOKUP(D715,'报价表-配送'!$B$54:$I$58,6,0)+IF(AND(MOD(H715,30)&lt;=2.5,MOD(H715,30)&gt;=1.5),1,0)*VLOOKUP(D715,'报价表-配送'!$B$54:$I$58,5,0)</f>
        <v>0</v>
      </c>
      <c r="M715" s="39">
        <f>IF(AND(MOD(H715,30)&lt;1.5,MOD(H715,30)&gt;=0.5),H715,0)*VLOOKUP(D715,'报价表-配送'!$B$54:$I$58,4,0)*1000+IF(AND(MOD(H715,30)&lt;0.5,MOD(H715,30)&gt;=0.02),H715,0)*VLOOKUP(D715,'报价表-配送'!$B$54:$I$58,3,0)*1000+IF(AND(MOD(H715,30)&lt;0.02),H715,0)*VLOOKUP(D715,'报价表-配送'!$B$54:$I$58,2,0)*1000</f>
        <v>0</v>
      </c>
      <c r="N715" s="38">
        <f t="shared" si="10"/>
        <v>0</v>
      </c>
    </row>
    <row r="716" spans="1:14" x14ac:dyDescent="0.25">
      <c r="A716" t="s">
        <v>105</v>
      </c>
      <c r="B716" s="43" t="s">
        <v>108</v>
      </c>
      <c r="C716" s="62">
        <f>VLOOKUP(B716,合并仓明细!$D$2:$F$74,3,0)</f>
        <v>38</v>
      </c>
      <c r="D716" t="s">
        <v>393</v>
      </c>
      <c r="E716" s="43" t="s">
        <v>287</v>
      </c>
      <c r="F716" t="s">
        <v>68</v>
      </c>
      <c r="G716">
        <v>351.84</v>
      </c>
      <c r="H716">
        <v>3.0477506510799999</v>
      </c>
      <c r="I716" s="46">
        <f>ROUNDUP(H716/30,0)*VLOOKUP(D716,'报价表-配送'!$B$54:$I$58,8,0)</f>
        <v>0</v>
      </c>
      <c r="N716" s="38">
        <f t="shared" si="10"/>
        <v>0</v>
      </c>
    </row>
    <row r="717" spans="1:14" x14ac:dyDescent="0.25">
      <c r="A717" t="s">
        <v>105</v>
      </c>
      <c r="B717" s="43" t="s">
        <v>108</v>
      </c>
      <c r="C717" s="62">
        <f>VLOOKUP(B717,合并仓明细!$D$2:$F$74,3,0)</f>
        <v>38</v>
      </c>
      <c r="D717" t="s">
        <v>393</v>
      </c>
      <c r="E717" s="43" t="s">
        <v>287</v>
      </c>
      <c r="F717" t="s">
        <v>67</v>
      </c>
      <c r="G717">
        <v>2520.3416939999997</v>
      </c>
      <c r="H717"/>
      <c r="N717" s="38">
        <f t="shared" si="10"/>
        <v>0</v>
      </c>
    </row>
    <row r="718" spans="1:14" x14ac:dyDescent="0.25">
      <c r="A718" t="s">
        <v>105</v>
      </c>
      <c r="B718" s="43" t="s">
        <v>108</v>
      </c>
      <c r="C718" s="62">
        <f>VLOOKUP(B718,合并仓明细!$D$2:$F$74,3,0)</f>
        <v>38</v>
      </c>
      <c r="D718" t="s">
        <v>393</v>
      </c>
      <c r="E718" s="43" t="s">
        <v>287</v>
      </c>
      <c r="F718" t="s">
        <v>66</v>
      </c>
      <c r="G718">
        <v>175.56895708000002</v>
      </c>
      <c r="H718"/>
      <c r="L718" s="37"/>
      <c r="M718" s="39"/>
      <c r="N718" s="38">
        <f t="shared" si="10"/>
        <v>0</v>
      </c>
    </row>
    <row r="719" spans="1:14" x14ac:dyDescent="0.25">
      <c r="A719" t="s">
        <v>105</v>
      </c>
      <c r="B719" s="43" t="s">
        <v>108</v>
      </c>
      <c r="C719" s="62">
        <f>VLOOKUP(B719,合并仓明细!$D$2:$F$74,3,0)</f>
        <v>38</v>
      </c>
      <c r="D719" t="s">
        <v>393</v>
      </c>
      <c r="E719" s="43" t="s">
        <v>340</v>
      </c>
      <c r="F719" t="s">
        <v>68</v>
      </c>
      <c r="G719">
        <v>1354.7845000000002</v>
      </c>
      <c r="H719">
        <v>5.4582091610900001</v>
      </c>
      <c r="I719" s="46">
        <f>ROUNDUP(H719/30,0)*VLOOKUP(D719,'报价表-配送'!$B$54:$I$58,8,0)</f>
        <v>0</v>
      </c>
      <c r="L719" s="37"/>
      <c r="M719" s="39"/>
      <c r="N719" s="38">
        <f t="shared" si="10"/>
        <v>0</v>
      </c>
    </row>
    <row r="720" spans="1:14" x14ac:dyDescent="0.25">
      <c r="A720" t="s">
        <v>105</v>
      </c>
      <c r="B720" s="43" t="s">
        <v>108</v>
      </c>
      <c r="C720" s="62">
        <f>VLOOKUP(B720,合并仓明细!$D$2:$F$74,3,0)</f>
        <v>38</v>
      </c>
      <c r="D720" t="s">
        <v>393</v>
      </c>
      <c r="E720" s="43" t="s">
        <v>340</v>
      </c>
      <c r="F720" t="s">
        <v>67</v>
      </c>
      <c r="G720">
        <v>2799.2278200000001</v>
      </c>
      <c r="H720"/>
      <c r="I720" s="38"/>
      <c r="J720" s="38"/>
      <c r="K720" s="38"/>
      <c r="L720" s="37"/>
      <c r="M720" s="37"/>
      <c r="N720" s="38">
        <f t="shared" si="10"/>
        <v>0</v>
      </c>
    </row>
    <row r="721" spans="1:14" x14ac:dyDescent="0.25">
      <c r="A721" t="s">
        <v>105</v>
      </c>
      <c r="B721" s="43" t="s">
        <v>108</v>
      </c>
      <c r="C721" s="62">
        <f>VLOOKUP(B721,合并仓明细!$D$2:$F$74,3,0)</f>
        <v>38</v>
      </c>
      <c r="D721" t="s">
        <v>393</v>
      </c>
      <c r="E721" s="43" t="s">
        <v>340</v>
      </c>
      <c r="F721" t="s">
        <v>66</v>
      </c>
      <c r="G721">
        <v>1304.1968410899999</v>
      </c>
      <c r="H721"/>
      <c r="I721" s="46"/>
      <c r="J721" s="37"/>
      <c r="K721" s="37"/>
      <c r="L721" s="37"/>
      <c r="M721" s="37"/>
      <c r="N721" s="38">
        <f t="shared" si="10"/>
        <v>0</v>
      </c>
    </row>
    <row r="722" spans="1:14" x14ac:dyDescent="0.25">
      <c r="A722" t="s">
        <v>105</v>
      </c>
      <c r="B722" s="43" t="s">
        <v>108</v>
      </c>
      <c r="C722" s="62">
        <f>VLOOKUP(B722,合并仓明细!$D$2:$F$74,3,0)</f>
        <v>38</v>
      </c>
      <c r="D722" t="s">
        <v>393</v>
      </c>
      <c r="E722" s="43" t="s">
        <v>341</v>
      </c>
      <c r="F722" t="s">
        <v>66</v>
      </c>
      <c r="G722">
        <v>345.22249999999997</v>
      </c>
      <c r="H722">
        <v>0.34522249999999999</v>
      </c>
      <c r="L722" s="37">
        <f>IF(H722&gt;30,QUOTIENT(H722,30)*VLOOKUP(D722,'报价表-配送'!$B$54:$I$58,8,0),0)+IF(AND(MOD(H722,30)&gt;18,MOD(H722,30)&lt;=30),1,0)*VLOOKUP(D722,'报价表-配送'!$B$54:$I$58,8,0)+IF(AND(MOD(H722,30)&gt;8,MOD(H722,30)&lt;=18),1*VLOOKUP(D722,'报价表-配送'!$B$54:$I$58,7,0),0)+IF(AND(MOD(H722,30)&lt;=8,MOD(H722,30)&gt;2.5),1,0)*VLOOKUP(D722,'报价表-配送'!$B$54:$I$58,6,0)+IF(AND(MOD(H722,30)&lt;=2.5,MOD(H722,30)&gt;=1.5),1,0)*VLOOKUP(D722,'报价表-配送'!$B$54:$I$58,5,0)</f>
        <v>0</v>
      </c>
      <c r="M722" s="39">
        <f>IF(AND(MOD(H722,30)&lt;1.5,MOD(H722,30)&gt;=0.5),H722,0)*VLOOKUP(D722,'报价表-配送'!$B$54:$I$58,4,0)*1000+IF(AND(MOD(H722,30)&lt;0.5,MOD(H722,30)&gt;=0.02),H722,0)*VLOOKUP(D722,'报价表-配送'!$B$54:$I$58,3,0)*1000+IF(AND(MOD(H722,30)&lt;0.02),H722,0)*VLOOKUP(D722,'报价表-配送'!$B$54:$I$58,2,0)*1000</f>
        <v>0</v>
      </c>
      <c r="N722" s="38">
        <f t="shared" ref="N722:N785" si="11">SUM(I722:M722)</f>
        <v>0</v>
      </c>
    </row>
    <row r="723" spans="1:14" x14ac:dyDescent="0.25">
      <c r="A723" t="s">
        <v>105</v>
      </c>
      <c r="B723" s="43" t="s">
        <v>108</v>
      </c>
      <c r="C723" s="62">
        <f>VLOOKUP(B723,合并仓明细!$D$2:$F$74,3,0)</f>
        <v>38</v>
      </c>
      <c r="D723" t="s">
        <v>393</v>
      </c>
      <c r="E723" s="43" t="s">
        <v>342</v>
      </c>
      <c r="F723" t="s">
        <v>67</v>
      </c>
      <c r="G723">
        <v>2557.6560678000001</v>
      </c>
      <c r="H723">
        <v>3.9016660001000001</v>
      </c>
      <c r="I723" s="38">
        <f>IF(H723&gt;30,QUOTIENT(H723,30)*VLOOKUP(D723,'报价表-配送'!$B$54:$I$58,8,0),0)+IF(AND(MOD(H723,30)&gt;18,MOD(H723,30)&lt;=30),1,0)*VLOOKUP(D723,'报价表-配送'!$B$54:$I$58,8,0)</f>
        <v>0</v>
      </c>
      <c r="J723" s="38">
        <f>IF(AND(MOD(H723,30)&gt;8,MOD(H723,30)&lt;=18),1*VLOOKUP(D723,'报价表-配送'!$B$54:$I$58,7,0),0)</f>
        <v>0</v>
      </c>
      <c r="K723" s="38">
        <f>IF(AND(MOD(H723,30)&lt;=8,MOD(H723,30)&gt;0),1,0)*VLOOKUP(D723,'报价表-配送'!$B$54:$I$58,6,0)</f>
        <v>0</v>
      </c>
      <c r="N723" s="38">
        <f t="shared" si="11"/>
        <v>0</v>
      </c>
    </row>
    <row r="724" spans="1:14" x14ac:dyDescent="0.25">
      <c r="A724" t="s">
        <v>105</v>
      </c>
      <c r="B724" s="43" t="s">
        <v>108</v>
      </c>
      <c r="C724" s="62">
        <f>VLOOKUP(B724,合并仓明细!$D$2:$F$74,3,0)</f>
        <v>38</v>
      </c>
      <c r="D724" t="s">
        <v>393</v>
      </c>
      <c r="E724" s="43" t="s">
        <v>342</v>
      </c>
      <c r="F724" t="s">
        <v>66</v>
      </c>
      <c r="G724">
        <v>1344.0099323000002</v>
      </c>
      <c r="H724"/>
      <c r="I724" s="46"/>
      <c r="J724" s="37"/>
      <c r="K724" s="37"/>
      <c r="L724" s="37"/>
      <c r="M724" s="37"/>
      <c r="N724" s="38">
        <f t="shared" si="11"/>
        <v>0</v>
      </c>
    </row>
    <row r="725" spans="1:14" x14ac:dyDescent="0.25">
      <c r="A725" t="s">
        <v>105</v>
      </c>
      <c r="B725" s="43" t="s">
        <v>108</v>
      </c>
      <c r="C725" s="62">
        <f>VLOOKUP(B725,合并仓明细!$D$2:$F$74,3,0)</f>
        <v>38</v>
      </c>
      <c r="D725" t="s">
        <v>393</v>
      </c>
      <c r="E725" s="43" t="s">
        <v>296</v>
      </c>
      <c r="F725" t="s">
        <v>68</v>
      </c>
      <c r="G725">
        <v>661.50400000000002</v>
      </c>
      <c r="H725">
        <v>2.8579791480099996</v>
      </c>
      <c r="I725" s="46">
        <f>ROUNDUP(H725/30,0)*VLOOKUP(D725,'报价表-配送'!$B$54:$I$58,8,0)</f>
        <v>0</v>
      </c>
      <c r="N725" s="38">
        <f t="shared" si="11"/>
        <v>0</v>
      </c>
    </row>
    <row r="726" spans="1:14" x14ac:dyDescent="0.25">
      <c r="A726" t="s">
        <v>105</v>
      </c>
      <c r="B726" s="43" t="s">
        <v>108</v>
      </c>
      <c r="C726" s="62">
        <f>VLOOKUP(B726,合并仓明细!$D$2:$F$74,3,0)</f>
        <v>38</v>
      </c>
      <c r="D726" t="s">
        <v>393</v>
      </c>
      <c r="E726" s="43" t="s">
        <v>296</v>
      </c>
      <c r="F726" t="s">
        <v>67</v>
      </c>
      <c r="G726">
        <v>1615.65648784</v>
      </c>
      <c r="H726"/>
      <c r="N726" s="38">
        <f t="shared" si="11"/>
        <v>0</v>
      </c>
    </row>
    <row r="727" spans="1:14" x14ac:dyDescent="0.25">
      <c r="A727" t="s">
        <v>105</v>
      </c>
      <c r="B727" s="43" t="s">
        <v>108</v>
      </c>
      <c r="C727" s="62">
        <f>VLOOKUP(B727,合并仓明细!$D$2:$F$74,3,0)</f>
        <v>38</v>
      </c>
      <c r="D727" t="s">
        <v>393</v>
      </c>
      <c r="E727" s="43" t="s">
        <v>296</v>
      </c>
      <c r="F727" t="s">
        <v>66</v>
      </c>
      <c r="G727">
        <v>580.81866016999993</v>
      </c>
      <c r="H727"/>
      <c r="L727" s="37"/>
      <c r="M727" s="39"/>
      <c r="N727" s="38">
        <f t="shared" si="11"/>
        <v>0</v>
      </c>
    </row>
    <row r="728" spans="1:14" x14ac:dyDescent="0.25">
      <c r="A728" t="s">
        <v>105</v>
      </c>
      <c r="B728" s="43" t="s">
        <v>108</v>
      </c>
      <c r="C728" s="62">
        <f>VLOOKUP(B728,合并仓明细!$D$2:$F$74,3,0)</f>
        <v>38</v>
      </c>
      <c r="D728" t="s">
        <v>393</v>
      </c>
      <c r="E728" s="43" t="s">
        <v>250</v>
      </c>
      <c r="F728" t="s">
        <v>66</v>
      </c>
      <c r="G728">
        <v>1233.7792687099998</v>
      </c>
      <c r="H728">
        <v>1.2337792687099998</v>
      </c>
      <c r="L728" s="37">
        <f>IF(H728&gt;30,QUOTIENT(H728,30)*VLOOKUP(D728,'报价表-配送'!$B$54:$I$58,8,0),0)+IF(AND(MOD(H728,30)&gt;18,MOD(H728,30)&lt;=30),1,0)*VLOOKUP(D728,'报价表-配送'!$B$54:$I$58,8,0)+IF(AND(MOD(H728,30)&gt;8,MOD(H728,30)&lt;=18),1*VLOOKUP(D728,'报价表-配送'!$B$54:$I$58,7,0),0)+IF(AND(MOD(H728,30)&lt;=8,MOD(H728,30)&gt;2.5),1,0)*VLOOKUP(D728,'报价表-配送'!$B$54:$I$58,6,0)+IF(AND(MOD(H728,30)&lt;=2.5,MOD(H728,30)&gt;=1.5),1,0)*VLOOKUP(D728,'报价表-配送'!$B$54:$I$58,5,0)</f>
        <v>0</v>
      </c>
      <c r="M728" s="39">
        <f>IF(AND(MOD(H728,30)&lt;1.5,MOD(H728,30)&gt;=0.5),H728,0)*VLOOKUP(D728,'报价表-配送'!$B$54:$I$58,4,0)*1000+IF(AND(MOD(H728,30)&lt;0.5,MOD(H728,30)&gt;=0.02),H728,0)*VLOOKUP(D728,'报价表-配送'!$B$54:$I$58,3,0)*1000+IF(AND(MOD(H728,30)&lt;0.02),H728,0)*VLOOKUP(D728,'报价表-配送'!$B$54:$I$58,2,0)*1000</f>
        <v>0</v>
      </c>
      <c r="N728" s="38">
        <f t="shared" si="11"/>
        <v>0</v>
      </c>
    </row>
    <row r="729" spans="1:14" x14ac:dyDescent="0.25">
      <c r="A729" t="s">
        <v>105</v>
      </c>
      <c r="B729" s="43" t="s">
        <v>108</v>
      </c>
      <c r="C729" s="62">
        <f>VLOOKUP(B729,合并仓明细!$D$2:$F$74,3,0)</f>
        <v>38</v>
      </c>
      <c r="D729" t="s">
        <v>393</v>
      </c>
      <c r="E729" s="43" t="s">
        <v>343</v>
      </c>
      <c r="F729" t="s">
        <v>68</v>
      </c>
      <c r="G729">
        <v>1356.8725200000001</v>
      </c>
      <c r="H729">
        <v>7.1149485369600001</v>
      </c>
      <c r="I729" s="46">
        <f>ROUNDUP(H729/30,0)*VLOOKUP(D729,'报价表-配送'!$B$54:$I$58,8,0)</f>
        <v>0</v>
      </c>
      <c r="J729" s="38"/>
      <c r="K729" s="38"/>
      <c r="L729" s="37"/>
      <c r="M729" s="37"/>
      <c r="N729" s="38">
        <f t="shared" si="11"/>
        <v>0</v>
      </c>
    </row>
    <row r="730" spans="1:14" x14ac:dyDescent="0.25">
      <c r="A730" t="s">
        <v>105</v>
      </c>
      <c r="B730" s="43" t="s">
        <v>108</v>
      </c>
      <c r="C730" s="62">
        <f>VLOOKUP(B730,合并仓明细!$D$2:$F$74,3,0)</f>
        <v>38</v>
      </c>
      <c r="D730" t="s">
        <v>393</v>
      </c>
      <c r="E730" s="43" t="s">
        <v>343</v>
      </c>
      <c r="F730" t="s">
        <v>67</v>
      </c>
      <c r="G730">
        <v>4084.1583000000001</v>
      </c>
      <c r="H730"/>
      <c r="N730" s="38">
        <f t="shared" si="11"/>
        <v>0</v>
      </c>
    </row>
    <row r="731" spans="1:14" x14ac:dyDescent="0.25">
      <c r="A731" t="s">
        <v>105</v>
      </c>
      <c r="B731" s="43" t="s">
        <v>108</v>
      </c>
      <c r="C731" s="62">
        <f>VLOOKUP(B731,合并仓明细!$D$2:$F$74,3,0)</f>
        <v>38</v>
      </c>
      <c r="D731" t="s">
        <v>393</v>
      </c>
      <c r="E731" s="43" t="s">
        <v>343</v>
      </c>
      <c r="F731" t="s">
        <v>66</v>
      </c>
      <c r="G731">
        <v>1673.91771696</v>
      </c>
      <c r="H731"/>
      <c r="I731" s="38"/>
      <c r="J731" s="38"/>
      <c r="K731" s="38"/>
      <c r="L731" s="37"/>
      <c r="M731" s="37"/>
      <c r="N731" s="38">
        <f t="shared" si="11"/>
        <v>0</v>
      </c>
    </row>
    <row r="732" spans="1:14" x14ac:dyDescent="0.25">
      <c r="A732" t="s">
        <v>105</v>
      </c>
      <c r="B732" s="43" t="s">
        <v>108</v>
      </c>
      <c r="C732" s="62">
        <f>VLOOKUP(B732,合并仓明细!$D$2:$F$74,3,0)</f>
        <v>38</v>
      </c>
      <c r="D732" t="s">
        <v>393</v>
      </c>
      <c r="E732" s="43" t="s">
        <v>300</v>
      </c>
      <c r="F732" t="s">
        <v>68</v>
      </c>
      <c r="G732">
        <v>678.24966119999999</v>
      </c>
      <c r="H732">
        <v>1.8334103997</v>
      </c>
      <c r="I732" s="46">
        <f>ROUNDUP(H732/30,0)*VLOOKUP(D732,'报价表-配送'!$B$54:$I$58,8,0)</f>
        <v>0</v>
      </c>
      <c r="N732" s="38">
        <f t="shared" si="11"/>
        <v>0</v>
      </c>
    </row>
    <row r="733" spans="1:14" x14ac:dyDescent="0.25">
      <c r="A733" t="s">
        <v>105</v>
      </c>
      <c r="B733" s="43" t="s">
        <v>108</v>
      </c>
      <c r="C733" s="62">
        <f>VLOOKUP(B733,合并仓明细!$D$2:$F$74,3,0)</f>
        <v>38</v>
      </c>
      <c r="D733" t="s">
        <v>393</v>
      </c>
      <c r="E733" s="43" t="s">
        <v>300</v>
      </c>
      <c r="F733" t="s">
        <v>67</v>
      </c>
      <c r="G733">
        <v>432.66236400000003</v>
      </c>
      <c r="H733"/>
      <c r="I733" s="38"/>
      <c r="J733" s="38"/>
      <c r="K733" s="38"/>
      <c r="L733" s="37"/>
      <c r="M733" s="37"/>
      <c r="N733" s="38">
        <f t="shared" si="11"/>
        <v>0</v>
      </c>
    </row>
    <row r="734" spans="1:14" x14ac:dyDescent="0.25">
      <c r="A734" t="s">
        <v>105</v>
      </c>
      <c r="B734" s="43" t="s">
        <v>108</v>
      </c>
      <c r="C734" s="62">
        <f>VLOOKUP(B734,合并仓明细!$D$2:$F$74,3,0)</f>
        <v>38</v>
      </c>
      <c r="D734" t="s">
        <v>393</v>
      </c>
      <c r="E734" s="43" t="s">
        <v>300</v>
      </c>
      <c r="F734" t="s">
        <v>66</v>
      </c>
      <c r="G734">
        <v>722.49837449999995</v>
      </c>
      <c r="H734"/>
      <c r="N734" s="38">
        <f t="shared" si="11"/>
        <v>0</v>
      </c>
    </row>
    <row r="735" spans="1:14" x14ac:dyDescent="0.25">
      <c r="A735" t="s">
        <v>105</v>
      </c>
      <c r="B735" s="43" t="s">
        <v>108</v>
      </c>
      <c r="C735" s="62">
        <f>VLOOKUP(B735,合并仓明细!$D$2:$F$74,3,0)</f>
        <v>38</v>
      </c>
      <c r="D735" t="s">
        <v>393</v>
      </c>
      <c r="E735" s="43" t="s">
        <v>330</v>
      </c>
      <c r="F735" t="s">
        <v>66</v>
      </c>
      <c r="G735">
        <v>2168.7604053200002</v>
      </c>
      <c r="H735">
        <v>2.16876040532</v>
      </c>
      <c r="I735" s="38"/>
      <c r="J735" s="38"/>
      <c r="K735" s="38"/>
      <c r="L735" s="37">
        <f>IF(H735&gt;30,QUOTIENT(H735,30)*VLOOKUP(D735,'报价表-配送'!$B$54:$I$58,8,0),0)+IF(AND(MOD(H735,30)&gt;18,MOD(H735,30)&lt;=30),1,0)*VLOOKUP(D735,'报价表-配送'!$B$54:$I$58,8,0)+IF(AND(MOD(H735,30)&gt;8,MOD(H735,30)&lt;=18),1*VLOOKUP(D735,'报价表-配送'!$B$54:$I$58,7,0),0)+IF(AND(MOD(H735,30)&lt;=8,MOD(H735,30)&gt;2.5),1,0)*VLOOKUP(D735,'报价表-配送'!$B$54:$I$58,6,0)+IF(AND(MOD(H735,30)&lt;=2.5,MOD(H735,30)&gt;=1.5),1,0)*VLOOKUP(D735,'报价表-配送'!$B$54:$I$58,5,0)</f>
        <v>0</v>
      </c>
      <c r="M735" s="39">
        <f>IF(AND(MOD(H735,30)&lt;1.5,MOD(H735,30)&gt;=0.5),H735,0)*VLOOKUP(D735,'报价表-配送'!$B$54:$I$58,4,0)*1000+IF(AND(MOD(H735,30)&lt;0.5,MOD(H735,30)&gt;=0.02),H735,0)*VLOOKUP(D735,'报价表-配送'!$B$54:$I$58,3,0)*1000+IF(AND(MOD(H735,30)&lt;0.02),H735,0)*VLOOKUP(D735,'报价表-配送'!$B$54:$I$58,2,0)*1000</f>
        <v>0</v>
      </c>
      <c r="N735" s="38">
        <f t="shared" si="11"/>
        <v>0</v>
      </c>
    </row>
    <row r="736" spans="1:14" x14ac:dyDescent="0.25">
      <c r="A736" t="s">
        <v>105</v>
      </c>
      <c r="B736" s="43" t="s">
        <v>108</v>
      </c>
      <c r="C736" s="62">
        <f>VLOOKUP(B736,合并仓明细!$D$2:$F$74,3,0)</f>
        <v>38</v>
      </c>
      <c r="D736" t="s">
        <v>393</v>
      </c>
      <c r="E736" s="43" t="s">
        <v>252</v>
      </c>
      <c r="F736" t="s">
        <v>68</v>
      </c>
      <c r="G736">
        <v>2338.2239999999997</v>
      </c>
      <c r="H736">
        <v>9.9453439345699994</v>
      </c>
      <c r="I736" s="46">
        <f>ROUNDUP(H736/30,0)*VLOOKUP(D736,'报价表-配送'!$B$54:$I$58,8,0)</f>
        <v>0</v>
      </c>
      <c r="N736" s="38">
        <f t="shared" si="11"/>
        <v>0</v>
      </c>
    </row>
    <row r="737" spans="1:14" x14ac:dyDescent="0.25">
      <c r="A737" t="s">
        <v>105</v>
      </c>
      <c r="B737" s="43" t="s">
        <v>108</v>
      </c>
      <c r="C737" s="62">
        <f>VLOOKUP(B737,合并仓明细!$D$2:$F$74,3,0)</f>
        <v>38</v>
      </c>
      <c r="D737" t="s">
        <v>393</v>
      </c>
      <c r="E737" s="43" t="s">
        <v>252</v>
      </c>
      <c r="F737" t="s">
        <v>67</v>
      </c>
      <c r="G737">
        <v>6507.1551360000003</v>
      </c>
      <c r="H737"/>
      <c r="I737" s="38"/>
      <c r="J737" s="38"/>
      <c r="K737" s="38"/>
      <c r="L737" s="37"/>
      <c r="M737" s="37"/>
      <c r="N737" s="38">
        <f t="shared" si="11"/>
        <v>0</v>
      </c>
    </row>
    <row r="738" spans="1:14" x14ac:dyDescent="0.25">
      <c r="A738" t="s">
        <v>105</v>
      </c>
      <c r="B738" s="43" t="s">
        <v>108</v>
      </c>
      <c r="C738" s="62">
        <f>VLOOKUP(B738,合并仓明细!$D$2:$F$74,3,0)</f>
        <v>38</v>
      </c>
      <c r="D738" t="s">
        <v>393</v>
      </c>
      <c r="E738" s="43" t="s">
        <v>252</v>
      </c>
      <c r="F738" t="s">
        <v>66</v>
      </c>
      <c r="G738">
        <v>1099.9647985699999</v>
      </c>
      <c r="H738"/>
      <c r="N738" s="38">
        <f t="shared" si="11"/>
        <v>0</v>
      </c>
    </row>
    <row r="739" spans="1:14" x14ac:dyDescent="0.25">
      <c r="A739" t="s">
        <v>105</v>
      </c>
      <c r="B739" s="43" t="s">
        <v>108</v>
      </c>
      <c r="C739" s="62">
        <f>VLOOKUP(B739,合并仓明细!$D$2:$F$74,3,0)</f>
        <v>38</v>
      </c>
      <c r="D739" t="s">
        <v>393</v>
      </c>
      <c r="E739" s="43" t="s">
        <v>254</v>
      </c>
      <c r="F739" t="s">
        <v>68</v>
      </c>
      <c r="G739">
        <v>443.37599999999998</v>
      </c>
      <c r="H739">
        <v>3.9097948228099995</v>
      </c>
      <c r="I739" s="46">
        <f>ROUNDUP(H739/30,0)*VLOOKUP(D739,'报价表-配送'!$B$54:$I$58,8,0)</f>
        <v>0</v>
      </c>
      <c r="J739" s="38"/>
      <c r="K739" s="38"/>
      <c r="L739" s="37"/>
      <c r="M739" s="37"/>
      <c r="N739" s="38">
        <f t="shared" si="11"/>
        <v>0</v>
      </c>
    </row>
    <row r="740" spans="1:14" x14ac:dyDescent="0.25">
      <c r="A740" t="s">
        <v>105</v>
      </c>
      <c r="B740" s="43" t="s">
        <v>108</v>
      </c>
      <c r="C740" s="62">
        <f>VLOOKUP(B740,合并仓明细!$D$2:$F$74,3,0)</f>
        <v>38</v>
      </c>
      <c r="D740" t="s">
        <v>393</v>
      </c>
      <c r="E740" s="43" t="s">
        <v>254</v>
      </c>
      <c r="F740" t="s">
        <v>67</v>
      </c>
      <c r="G740">
        <v>2694.86418</v>
      </c>
      <c r="H740"/>
      <c r="N740" s="38">
        <f t="shared" si="11"/>
        <v>0</v>
      </c>
    </row>
    <row r="741" spans="1:14" x14ac:dyDescent="0.25">
      <c r="A741" t="s">
        <v>105</v>
      </c>
      <c r="B741" s="43" t="s">
        <v>108</v>
      </c>
      <c r="C741" s="62">
        <f>VLOOKUP(B741,合并仓明细!$D$2:$F$74,3,0)</f>
        <v>38</v>
      </c>
      <c r="D741" t="s">
        <v>393</v>
      </c>
      <c r="E741" s="43" t="s">
        <v>254</v>
      </c>
      <c r="F741" t="s">
        <v>66</v>
      </c>
      <c r="G741">
        <v>771.5546428099999</v>
      </c>
      <c r="H741"/>
      <c r="I741" s="46"/>
      <c r="J741" s="37"/>
      <c r="K741" s="37"/>
      <c r="L741" s="37"/>
      <c r="M741" s="37"/>
      <c r="N741" s="38">
        <f t="shared" si="11"/>
        <v>0</v>
      </c>
    </row>
    <row r="742" spans="1:14" x14ac:dyDescent="0.25">
      <c r="A742" t="s">
        <v>105</v>
      </c>
      <c r="B742" s="43" t="s">
        <v>109</v>
      </c>
      <c r="C742" s="62">
        <f>VLOOKUP(B742,合并仓明细!$D$2:$F$74,3,0)</f>
        <v>63</v>
      </c>
      <c r="D742" t="s">
        <v>393</v>
      </c>
      <c r="E742" s="43" t="s">
        <v>307</v>
      </c>
      <c r="F742" t="s">
        <v>68</v>
      </c>
      <c r="G742">
        <v>427.02</v>
      </c>
      <c r="H742">
        <v>9.7186205562400012</v>
      </c>
      <c r="I742" s="46">
        <f>ROUNDUP(H742/30,0)*VLOOKUP(D742,'报价表-配送'!$B$54:$I$58,8,0)</f>
        <v>0</v>
      </c>
      <c r="N742" s="38">
        <f t="shared" si="11"/>
        <v>0</v>
      </c>
    </row>
    <row r="743" spans="1:14" x14ac:dyDescent="0.25">
      <c r="A743" t="s">
        <v>105</v>
      </c>
      <c r="B743" s="43" t="s">
        <v>109</v>
      </c>
      <c r="C743" s="62">
        <f>VLOOKUP(B743,合并仓明细!$D$2:$F$74,3,0)</f>
        <v>63</v>
      </c>
      <c r="D743" t="s">
        <v>393</v>
      </c>
      <c r="E743" s="43" t="s">
        <v>307</v>
      </c>
      <c r="F743" t="s">
        <v>67</v>
      </c>
      <c r="G743">
        <v>5263.230474</v>
      </c>
      <c r="H743"/>
      <c r="N743" s="38">
        <f t="shared" si="11"/>
        <v>0</v>
      </c>
    </row>
    <row r="744" spans="1:14" x14ac:dyDescent="0.25">
      <c r="A744" t="s">
        <v>105</v>
      </c>
      <c r="B744" s="43" t="s">
        <v>109</v>
      </c>
      <c r="C744" s="62">
        <f>VLOOKUP(B744,合并仓明细!$D$2:$F$74,3,0)</f>
        <v>63</v>
      </c>
      <c r="D744" t="s">
        <v>393</v>
      </c>
      <c r="E744" s="43" t="s">
        <v>307</v>
      </c>
      <c r="F744" t="s">
        <v>66</v>
      </c>
      <c r="G744">
        <v>4028.3700822400006</v>
      </c>
      <c r="H744"/>
      <c r="I744" s="46"/>
      <c r="J744" s="37"/>
      <c r="K744" s="37"/>
      <c r="L744" s="37"/>
      <c r="M744" s="37"/>
      <c r="N744" s="38">
        <f t="shared" si="11"/>
        <v>0</v>
      </c>
    </row>
    <row r="745" spans="1:14" x14ac:dyDescent="0.25">
      <c r="A745" t="s">
        <v>105</v>
      </c>
      <c r="B745" s="43" t="s">
        <v>109</v>
      </c>
      <c r="C745" s="62">
        <f>VLOOKUP(B745,合并仓明细!$D$2:$F$74,3,0)</f>
        <v>63</v>
      </c>
      <c r="D745" t="s">
        <v>393</v>
      </c>
      <c r="E745" s="43" t="s">
        <v>264</v>
      </c>
      <c r="F745" t="s">
        <v>68</v>
      </c>
      <c r="G745">
        <v>2000.5455999999999</v>
      </c>
      <c r="H745">
        <v>2.5698989332999997</v>
      </c>
      <c r="I745" s="46">
        <f>ROUNDUP(H745/30,0)*VLOOKUP(D745,'报价表-配送'!$B$54:$I$58,8,0)</f>
        <v>0</v>
      </c>
      <c r="N745" s="38">
        <f t="shared" si="11"/>
        <v>0</v>
      </c>
    </row>
    <row r="746" spans="1:14" x14ac:dyDescent="0.25">
      <c r="A746" t="s">
        <v>105</v>
      </c>
      <c r="B746" s="43" t="s">
        <v>109</v>
      </c>
      <c r="C746" s="62">
        <f>VLOOKUP(B746,合并仓明细!$D$2:$F$74,3,0)</f>
        <v>63</v>
      </c>
      <c r="D746" t="s">
        <v>393</v>
      </c>
      <c r="E746" s="43" t="s">
        <v>264</v>
      </c>
      <c r="F746" t="s">
        <v>66</v>
      </c>
      <c r="G746">
        <v>569.35333329999992</v>
      </c>
      <c r="H746"/>
      <c r="N746" s="38">
        <f t="shared" si="11"/>
        <v>0</v>
      </c>
    </row>
    <row r="747" spans="1:14" x14ac:dyDescent="0.25">
      <c r="A747" t="s">
        <v>105</v>
      </c>
      <c r="B747" s="43" t="s">
        <v>109</v>
      </c>
      <c r="C747" s="62">
        <f>VLOOKUP(B747,合并仓明细!$D$2:$F$74,3,0)</f>
        <v>63</v>
      </c>
      <c r="D747" t="s">
        <v>393</v>
      </c>
      <c r="E747" s="43" t="s">
        <v>344</v>
      </c>
      <c r="F747" t="s">
        <v>68</v>
      </c>
      <c r="G747">
        <v>1407.36</v>
      </c>
      <c r="H747">
        <v>2.9979405290300001</v>
      </c>
      <c r="I747" s="46">
        <f>ROUNDUP(H747/30,0)*VLOOKUP(D747,'报价表-配送'!$B$54:$I$58,8,0)</f>
        <v>0</v>
      </c>
      <c r="J747" s="37"/>
      <c r="K747" s="37"/>
      <c r="L747" s="37"/>
      <c r="M747" s="37"/>
      <c r="N747" s="38">
        <f t="shared" si="11"/>
        <v>0</v>
      </c>
    </row>
    <row r="748" spans="1:14" x14ac:dyDescent="0.25">
      <c r="A748" t="s">
        <v>105</v>
      </c>
      <c r="B748" s="43" t="s">
        <v>109</v>
      </c>
      <c r="C748" s="62">
        <f>VLOOKUP(B748,合并仓明细!$D$2:$F$74,3,0)</f>
        <v>63</v>
      </c>
      <c r="D748" t="s">
        <v>393</v>
      </c>
      <c r="E748" s="43" t="s">
        <v>344</v>
      </c>
      <c r="F748" t="s">
        <v>67</v>
      </c>
      <c r="G748">
        <v>37.433862300000001</v>
      </c>
      <c r="H748"/>
      <c r="N748" s="38">
        <f t="shared" si="11"/>
        <v>0</v>
      </c>
    </row>
    <row r="749" spans="1:14" x14ac:dyDescent="0.25">
      <c r="A749" t="s">
        <v>105</v>
      </c>
      <c r="B749" s="43" t="s">
        <v>109</v>
      </c>
      <c r="C749" s="62">
        <f>VLOOKUP(B749,合并仓明细!$D$2:$F$74,3,0)</f>
        <v>63</v>
      </c>
      <c r="D749" t="s">
        <v>393</v>
      </c>
      <c r="E749" s="43" t="s">
        <v>344</v>
      </c>
      <c r="F749" t="s">
        <v>66</v>
      </c>
      <c r="G749">
        <v>1553.1466667300001</v>
      </c>
      <c r="H749"/>
      <c r="N749" s="38">
        <f t="shared" si="11"/>
        <v>0</v>
      </c>
    </row>
    <row r="750" spans="1:14" x14ac:dyDescent="0.25">
      <c r="A750" t="s">
        <v>105</v>
      </c>
      <c r="B750" s="43" t="s">
        <v>109</v>
      </c>
      <c r="C750" s="62">
        <f>VLOOKUP(B750,合并仓明细!$D$2:$F$74,3,0)</f>
        <v>63</v>
      </c>
      <c r="D750" t="s">
        <v>393</v>
      </c>
      <c r="E750" s="43" t="s">
        <v>257</v>
      </c>
      <c r="F750" t="s">
        <v>67</v>
      </c>
      <c r="G750">
        <v>640.77696000000003</v>
      </c>
      <c r="H750">
        <v>0.98285695998000011</v>
      </c>
      <c r="I750" s="38">
        <f>IF(H750&gt;30,QUOTIENT(H750,30)*VLOOKUP(D750,'报价表-配送'!$B$54:$I$58,8,0),0)+IF(AND(MOD(H750,30)&gt;18,MOD(H750,30)&lt;=30),1,0)*VLOOKUP(D750,'报价表-配送'!$B$54:$I$58,8,0)</f>
        <v>0</v>
      </c>
      <c r="J750" s="38">
        <f>IF(AND(MOD(H750,30)&gt;8,MOD(H750,30)&lt;=18),1*VLOOKUP(D750,'报价表-配送'!$B$54:$I$58,7,0),0)</f>
        <v>0</v>
      </c>
      <c r="K750" s="38">
        <f>IF(AND(MOD(H750,30)&lt;=8,MOD(H750,30)&gt;0),1,0)*VLOOKUP(D750,'报价表-配送'!$B$54:$I$58,6,0)</f>
        <v>0</v>
      </c>
      <c r="L750" s="37"/>
      <c r="M750" s="37"/>
      <c r="N750" s="38">
        <f t="shared" si="11"/>
        <v>0</v>
      </c>
    </row>
    <row r="751" spans="1:14" x14ac:dyDescent="0.25">
      <c r="A751" t="s">
        <v>105</v>
      </c>
      <c r="B751" s="43" t="s">
        <v>109</v>
      </c>
      <c r="C751" s="62">
        <f>VLOOKUP(B751,合并仓明细!$D$2:$F$74,3,0)</f>
        <v>63</v>
      </c>
      <c r="D751" t="s">
        <v>393</v>
      </c>
      <c r="E751" s="43" t="s">
        <v>257</v>
      </c>
      <c r="F751" t="s">
        <v>66</v>
      </c>
      <c r="G751">
        <v>342.07999997999997</v>
      </c>
      <c r="H751"/>
      <c r="N751" s="38">
        <f t="shared" si="11"/>
        <v>0</v>
      </c>
    </row>
    <row r="752" spans="1:14" x14ac:dyDescent="0.25">
      <c r="A752" t="s">
        <v>105</v>
      </c>
      <c r="B752" s="43" t="s">
        <v>109</v>
      </c>
      <c r="C752" s="62">
        <f>VLOOKUP(B752,合并仓明细!$D$2:$F$74,3,0)</f>
        <v>63</v>
      </c>
      <c r="D752" t="s">
        <v>393</v>
      </c>
      <c r="E752" s="43" t="s">
        <v>267</v>
      </c>
      <c r="F752" t="s">
        <v>66</v>
      </c>
      <c r="G752">
        <v>6822.1050000099976</v>
      </c>
      <c r="H752">
        <v>6.8221050000099979</v>
      </c>
      <c r="I752" s="46"/>
      <c r="J752" s="37"/>
      <c r="K752" s="37"/>
      <c r="L752" s="37">
        <f>IF(H752&gt;30,QUOTIENT(H752,30)*VLOOKUP(D752,'报价表-配送'!$B$54:$I$58,8,0),0)+IF(AND(MOD(H752,30)&gt;18,MOD(H752,30)&lt;=30),1,0)*VLOOKUP(D752,'报价表-配送'!$B$54:$I$58,8,0)+IF(AND(MOD(H752,30)&gt;8,MOD(H752,30)&lt;=18),1*VLOOKUP(D752,'报价表-配送'!$B$54:$I$58,7,0),0)+IF(AND(MOD(H752,30)&lt;=8,MOD(H752,30)&gt;2.5),1,0)*VLOOKUP(D752,'报价表-配送'!$B$54:$I$58,6,0)+IF(AND(MOD(H752,30)&lt;=2.5,MOD(H752,30)&gt;=1.5),1,0)*VLOOKUP(D752,'报价表-配送'!$B$54:$I$58,5,0)</f>
        <v>0</v>
      </c>
      <c r="M752" s="39">
        <f>IF(AND(MOD(H752,30)&lt;1.5,MOD(H752,30)&gt;=0.5),H752,0)*VLOOKUP(D752,'报价表-配送'!$B$54:$I$58,4,0)*1000+IF(AND(MOD(H752,30)&lt;0.5,MOD(H752,30)&gt;=0.02),H752,0)*VLOOKUP(D752,'报价表-配送'!$B$54:$I$58,3,0)*1000+IF(AND(MOD(H752,30)&lt;0.02),H752,0)*VLOOKUP(D752,'报价表-配送'!$B$54:$I$58,2,0)*1000</f>
        <v>0</v>
      </c>
      <c r="N752" s="38">
        <f t="shared" si="11"/>
        <v>0</v>
      </c>
    </row>
    <row r="753" spans="1:14" x14ac:dyDescent="0.25">
      <c r="A753" t="s">
        <v>105</v>
      </c>
      <c r="B753" s="43" t="s">
        <v>109</v>
      </c>
      <c r="C753" s="62">
        <f>VLOOKUP(B753,合并仓明细!$D$2:$F$74,3,0)</f>
        <v>63</v>
      </c>
      <c r="D753" t="s">
        <v>393</v>
      </c>
      <c r="E753" s="43" t="s">
        <v>258</v>
      </c>
      <c r="F753" t="s">
        <v>66</v>
      </c>
      <c r="G753">
        <v>2561.92302948</v>
      </c>
      <c r="H753">
        <v>2.5619230294799999</v>
      </c>
      <c r="L753" s="37">
        <f>IF(H753&gt;30,QUOTIENT(H753,30)*VLOOKUP(D753,'报价表-配送'!$B$54:$I$58,8,0),0)+IF(AND(MOD(H753,30)&gt;18,MOD(H753,30)&lt;=30),1,0)*VLOOKUP(D753,'报价表-配送'!$B$54:$I$58,8,0)+IF(AND(MOD(H753,30)&gt;8,MOD(H753,30)&lt;=18),1*VLOOKUP(D753,'报价表-配送'!$B$54:$I$58,7,0),0)+IF(AND(MOD(H753,30)&lt;=8,MOD(H753,30)&gt;2.5),1,0)*VLOOKUP(D753,'报价表-配送'!$B$54:$I$58,6,0)+IF(AND(MOD(H753,30)&lt;=2.5,MOD(H753,30)&gt;=1.5),1,0)*VLOOKUP(D753,'报价表-配送'!$B$54:$I$58,5,0)</f>
        <v>0</v>
      </c>
      <c r="M753" s="39">
        <f>IF(AND(MOD(H753,30)&lt;1.5,MOD(H753,30)&gt;=0.5),H753,0)*VLOOKUP(D753,'报价表-配送'!$B$54:$I$58,4,0)*1000+IF(AND(MOD(H753,30)&lt;0.5,MOD(H753,30)&gt;=0.02),H753,0)*VLOOKUP(D753,'报价表-配送'!$B$54:$I$58,3,0)*1000+IF(AND(MOD(H753,30)&lt;0.02),H753,0)*VLOOKUP(D753,'报价表-配送'!$B$54:$I$58,2,0)*1000</f>
        <v>0</v>
      </c>
      <c r="N753" s="38">
        <f t="shared" si="11"/>
        <v>0</v>
      </c>
    </row>
    <row r="754" spans="1:14" x14ac:dyDescent="0.25">
      <c r="A754" t="s">
        <v>105</v>
      </c>
      <c r="B754" s="43" t="s">
        <v>109</v>
      </c>
      <c r="C754" s="62">
        <f>VLOOKUP(B754,合并仓明细!$D$2:$F$74,3,0)</f>
        <v>63</v>
      </c>
      <c r="D754" t="s">
        <v>393</v>
      </c>
      <c r="E754" s="43" t="s">
        <v>335</v>
      </c>
      <c r="F754" t="s">
        <v>66</v>
      </c>
      <c r="G754">
        <v>201.8166631</v>
      </c>
      <c r="H754">
        <v>0.20181666309999999</v>
      </c>
      <c r="L754" s="37">
        <f>IF(H754&gt;30,QUOTIENT(H754,30)*VLOOKUP(D754,'报价表-配送'!$B$54:$I$58,8,0),0)+IF(AND(MOD(H754,30)&gt;18,MOD(H754,30)&lt;=30),1,0)*VLOOKUP(D754,'报价表-配送'!$B$54:$I$58,8,0)+IF(AND(MOD(H754,30)&gt;8,MOD(H754,30)&lt;=18),1*VLOOKUP(D754,'报价表-配送'!$B$54:$I$58,7,0),0)+IF(AND(MOD(H754,30)&lt;=8,MOD(H754,30)&gt;2.5),1,0)*VLOOKUP(D754,'报价表-配送'!$B$54:$I$58,6,0)+IF(AND(MOD(H754,30)&lt;=2.5,MOD(H754,30)&gt;=1.5),1,0)*VLOOKUP(D754,'报价表-配送'!$B$54:$I$58,5,0)</f>
        <v>0</v>
      </c>
      <c r="M754" s="39">
        <f>IF(AND(MOD(H754,30)&lt;1.5,MOD(H754,30)&gt;=0.5),H754,0)*VLOOKUP(D754,'报价表-配送'!$B$54:$I$58,4,0)*1000+IF(AND(MOD(H754,30)&lt;0.5,MOD(H754,30)&gt;=0.02),H754,0)*VLOOKUP(D754,'报价表-配送'!$B$54:$I$58,3,0)*1000+IF(AND(MOD(H754,30)&lt;0.02),H754,0)*VLOOKUP(D754,'报价表-配送'!$B$54:$I$58,2,0)*1000</f>
        <v>0</v>
      </c>
      <c r="N754" s="38">
        <f t="shared" si="11"/>
        <v>0</v>
      </c>
    </row>
    <row r="755" spans="1:14" x14ac:dyDescent="0.25">
      <c r="A755" t="s">
        <v>105</v>
      </c>
      <c r="B755" s="43" t="s">
        <v>109</v>
      </c>
      <c r="C755" s="62">
        <f>VLOOKUP(B755,合并仓明细!$D$2:$F$74,3,0)</f>
        <v>63</v>
      </c>
      <c r="D755" t="s">
        <v>393</v>
      </c>
      <c r="E755" s="43" t="s">
        <v>345</v>
      </c>
      <c r="F755" t="s">
        <v>67</v>
      </c>
      <c r="G755">
        <v>14043.281089800001</v>
      </c>
      <c r="H755">
        <v>14.043281089800001</v>
      </c>
      <c r="I755" s="38">
        <f>IF(H755&gt;30,QUOTIENT(H755,30)*VLOOKUP(D755,'报价表-配送'!$B$54:$I$58,8,0),0)+IF(AND(MOD(H755,30)&gt;18,MOD(H755,30)&lt;=30),1,0)*VLOOKUP(D755,'报价表-配送'!$B$54:$I$58,8,0)</f>
        <v>0</v>
      </c>
      <c r="J755" s="38">
        <f>IF(AND(MOD(H755,30)&gt;8,MOD(H755,30)&lt;=18),1*VLOOKUP(D755,'报价表-配送'!$B$54:$I$58,7,0),0)</f>
        <v>0</v>
      </c>
      <c r="K755" s="38">
        <f>IF(AND(MOD(H755,30)&lt;=8,MOD(H755,30)&gt;0),1,0)*VLOOKUP(D755,'报价表-配送'!$B$54:$I$58,6,0)</f>
        <v>0</v>
      </c>
      <c r="L755" s="37"/>
      <c r="M755" s="37"/>
      <c r="N755" s="38">
        <f t="shared" si="11"/>
        <v>0</v>
      </c>
    </row>
    <row r="756" spans="1:14" x14ac:dyDescent="0.25">
      <c r="A756" t="s">
        <v>105</v>
      </c>
      <c r="B756" s="43" t="s">
        <v>109</v>
      </c>
      <c r="C756" s="62">
        <f>VLOOKUP(B756,合并仓明细!$D$2:$F$74,3,0)</f>
        <v>63</v>
      </c>
      <c r="D756" t="s">
        <v>393</v>
      </c>
      <c r="E756" s="43" t="s">
        <v>271</v>
      </c>
      <c r="F756" t="s">
        <v>68</v>
      </c>
      <c r="G756">
        <v>9023.3040000000001</v>
      </c>
      <c r="H756">
        <v>9.8385350000000003</v>
      </c>
      <c r="I756" s="46">
        <f>ROUNDUP(H756/30,0)*VLOOKUP(D756,'报价表-配送'!$B$54:$I$58,8,0)</f>
        <v>0</v>
      </c>
      <c r="N756" s="38">
        <f t="shared" si="11"/>
        <v>0</v>
      </c>
    </row>
    <row r="757" spans="1:14" x14ac:dyDescent="0.25">
      <c r="A757" t="s">
        <v>105</v>
      </c>
      <c r="B757" s="43" t="s">
        <v>109</v>
      </c>
      <c r="C757" s="62">
        <f>VLOOKUP(B757,合并仓明细!$D$2:$F$74,3,0)</f>
        <v>63</v>
      </c>
      <c r="D757" t="s">
        <v>393</v>
      </c>
      <c r="E757" s="43" t="s">
        <v>271</v>
      </c>
      <c r="F757" t="s">
        <v>66</v>
      </c>
      <c r="G757">
        <v>815.23099999999999</v>
      </c>
      <c r="H757"/>
      <c r="I757" s="46"/>
      <c r="J757" s="37"/>
      <c r="K757" s="37"/>
      <c r="L757" s="37"/>
      <c r="M757" s="37"/>
      <c r="N757" s="38">
        <f t="shared" si="11"/>
        <v>0</v>
      </c>
    </row>
    <row r="758" spans="1:14" x14ac:dyDescent="0.25">
      <c r="A758" t="s">
        <v>105</v>
      </c>
      <c r="B758" s="43" t="s">
        <v>109</v>
      </c>
      <c r="C758" s="62">
        <f>VLOOKUP(B758,合并仓明细!$D$2:$F$74,3,0)</f>
        <v>63</v>
      </c>
      <c r="D758" t="s">
        <v>393</v>
      </c>
      <c r="E758" s="43" t="s">
        <v>274</v>
      </c>
      <c r="F758" t="s">
        <v>66</v>
      </c>
      <c r="G758">
        <v>258.85833300000002</v>
      </c>
      <c r="H758">
        <v>0.258858333</v>
      </c>
      <c r="L758" s="37">
        <f>IF(H758&gt;30,QUOTIENT(H758,30)*VLOOKUP(D758,'报价表-配送'!$B$54:$I$58,8,0),0)+IF(AND(MOD(H758,30)&gt;18,MOD(H758,30)&lt;=30),1,0)*VLOOKUP(D758,'报价表-配送'!$B$54:$I$58,8,0)+IF(AND(MOD(H758,30)&gt;8,MOD(H758,30)&lt;=18),1*VLOOKUP(D758,'报价表-配送'!$B$54:$I$58,7,0),0)+IF(AND(MOD(H758,30)&lt;=8,MOD(H758,30)&gt;2.5),1,0)*VLOOKUP(D758,'报价表-配送'!$B$54:$I$58,6,0)+IF(AND(MOD(H758,30)&lt;=2.5,MOD(H758,30)&gt;=1.5),1,0)*VLOOKUP(D758,'报价表-配送'!$B$54:$I$58,5,0)</f>
        <v>0</v>
      </c>
      <c r="M758" s="39">
        <f>IF(AND(MOD(H758,30)&lt;1.5,MOD(H758,30)&gt;=0.5),H758,0)*VLOOKUP(D758,'报价表-配送'!$B$54:$I$58,4,0)*1000+IF(AND(MOD(H758,30)&lt;0.5,MOD(H758,30)&gt;=0.02),H758,0)*VLOOKUP(D758,'报价表-配送'!$B$54:$I$58,3,0)*1000+IF(AND(MOD(H758,30)&lt;0.02),H758,0)*VLOOKUP(D758,'报价表-配送'!$B$54:$I$58,2,0)*1000</f>
        <v>0</v>
      </c>
      <c r="N758" s="38">
        <f t="shared" si="11"/>
        <v>0</v>
      </c>
    </row>
    <row r="759" spans="1:14" x14ac:dyDescent="0.25">
      <c r="A759" t="s">
        <v>105</v>
      </c>
      <c r="B759" s="43" t="s">
        <v>109</v>
      </c>
      <c r="C759" s="62">
        <f>VLOOKUP(B759,合并仓明细!$D$2:$F$74,3,0)</f>
        <v>63</v>
      </c>
      <c r="D759" t="s">
        <v>393</v>
      </c>
      <c r="E759" s="43" t="s">
        <v>346</v>
      </c>
      <c r="F759" t="s">
        <v>66</v>
      </c>
      <c r="G759">
        <v>681.6</v>
      </c>
      <c r="H759">
        <v>0.68159999999999998</v>
      </c>
      <c r="L759" s="37">
        <f>IF(H759&gt;30,QUOTIENT(H759,30)*VLOOKUP(D759,'报价表-配送'!$B$54:$I$58,8,0),0)+IF(AND(MOD(H759,30)&gt;18,MOD(H759,30)&lt;=30),1,0)*VLOOKUP(D759,'报价表-配送'!$B$54:$I$58,8,0)+IF(AND(MOD(H759,30)&gt;8,MOD(H759,30)&lt;=18),1*VLOOKUP(D759,'报价表-配送'!$B$54:$I$58,7,0),0)+IF(AND(MOD(H759,30)&lt;=8,MOD(H759,30)&gt;2.5),1,0)*VLOOKUP(D759,'报价表-配送'!$B$54:$I$58,6,0)+IF(AND(MOD(H759,30)&lt;=2.5,MOD(H759,30)&gt;=1.5),1,0)*VLOOKUP(D759,'报价表-配送'!$B$54:$I$58,5,0)</f>
        <v>0</v>
      </c>
      <c r="M759" s="39">
        <f>IF(AND(MOD(H759,30)&lt;1.5,MOD(H759,30)&gt;=0.5),H759,0)*VLOOKUP(D759,'报价表-配送'!$B$54:$I$58,4,0)*1000+IF(AND(MOD(H759,30)&lt;0.5,MOD(H759,30)&gt;=0.02),H759,0)*VLOOKUP(D759,'报价表-配送'!$B$54:$I$58,3,0)*1000+IF(AND(MOD(H759,30)&lt;0.02),H759,0)*VLOOKUP(D759,'报价表-配送'!$B$54:$I$58,2,0)*1000</f>
        <v>0</v>
      </c>
      <c r="N759" s="38">
        <f t="shared" si="11"/>
        <v>0</v>
      </c>
    </row>
    <row r="760" spans="1:14" x14ac:dyDescent="0.25">
      <c r="A760" t="s">
        <v>105</v>
      </c>
      <c r="B760" s="43" t="s">
        <v>109</v>
      </c>
      <c r="C760" s="62">
        <f>VLOOKUP(B760,合并仓明细!$D$2:$F$74,3,0)</f>
        <v>63</v>
      </c>
      <c r="D760" t="s">
        <v>393</v>
      </c>
      <c r="E760" s="43" t="s">
        <v>347</v>
      </c>
      <c r="F760" t="s">
        <v>66</v>
      </c>
      <c r="G760">
        <v>1376.41283318</v>
      </c>
      <c r="H760">
        <v>1.3764128331800001</v>
      </c>
      <c r="I760" s="46"/>
      <c r="J760" s="37"/>
      <c r="K760" s="37"/>
      <c r="L760" s="37">
        <f>IF(H760&gt;30,QUOTIENT(H760,30)*VLOOKUP(D760,'报价表-配送'!$B$54:$I$58,8,0),0)+IF(AND(MOD(H760,30)&gt;18,MOD(H760,30)&lt;=30),1,0)*VLOOKUP(D760,'报价表-配送'!$B$54:$I$58,8,0)+IF(AND(MOD(H760,30)&gt;8,MOD(H760,30)&lt;=18),1*VLOOKUP(D760,'报价表-配送'!$B$54:$I$58,7,0),0)+IF(AND(MOD(H760,30)&lt;=8,MOD(H760,30)&gt;2.5),1,0)*VLOOKUP(D760,'报价表-配送'!$B$54:$I$58,6,0)+IF(AND(MOD(H760,30)&lt;=2.5,MOD(H760,30)&gt;=1.5),1,0)*VLOOKUP(D760,'报价表-配送'!$B$54:$I$58,5,0)</f>
        <v>0</v>
      </c>
      <c r="M760" s="39">
        <f>IF(AND(MOD(H760,30)&lt;1.5,MOD(H760,30)&gt;=0.5),H760,0)*VLOOKUP(D760,'报价表-配送'!$B$54:$I$58,4,0)*1000+IF(AND(MOD(H760,30)&lt;0.5,MOD(H760,30)&gt;=0.02),H760,0)*VLOOKUP(D760,'报价表-配送'!$B$54:$I$58,3,0)*1000+IF(AND(MOD(H760,30)&lt;0.02),H760,0)*VLOOKUP(D760,'报价表-配送'!$B$54:$I$58,2,0)*1000</f>
        <v>0</v>
      </c>
      <c r="N760" s="38">
        <f t="shared" si="11"/>
        <v>0</v>
      </c>
    </row>
    <row r="761" spans="1:14" x14ac:dyDescent="0.25">
      <c r="A761" t="s">
        <v>105</v>
      </c>
      <c r="B761" s="43" t="s">
        <v>109</v>
      </c>
      <c r="C761" s="62">
        <f>VLOOKUP(B761,合并仓明细!$D$2:$F$74,3,0)</f>
        <v>63</v>
      </c>
      <c r="D761" t="s">
        <v>393</v>
      </c>
      <c r="E761" s="43" t="s">
        <v>282</v>
      </c>
      <c r="F761" t="s">
        <v>68</v>
      </c>
      <c r="G761">
        <v>2081.7512400000001</v>
      </c>
      <c r="H761">
        <v>4.2400053306799999</v>
      </c>
      <c r="I761" s="46">
        <f>ROUNDUP(H761/30,0)*VLOOKUP(D761,'报价表-配送'!$B$54:$I$58,8,0)</f>
        <v>0</v>
      </c>
      <c r="N761" s="38">
        <f t="shared" si="11"/>
        <v>0</v>
      </c>
    </row>
    <row r="762" spans="1:14" x14ac:dyDescent="0.25">
      <c r="A762" t="s">
        <v>105</v>
      </c>
      <c r="B762" s="43" t="s">
        <v>109</v>
      </c>
      <c r="C762" s="62">
        <f>VLOOKUP(B762,合并仓明细!$D$2:$F$74,3,0)</f>
        <v>63</v>
      </c>
      <c r="D762" t="s">
        <v>393</v>
      </c>
      <c r="E762" s="43" t="s">
        <v>282</v>
      </c>
      <c r="F762" t="s">
        <v>67</v>
      </c>
      <c r="G762">
        <v>0</v>
      </c>
      <c r="H762"/>
      <c r="N762" s="38">
        <f t="shared" si="11"/>
        <v>0</v>
      </c>
    </row>
    <row r="763" spans="1:14" x14ac:dyDescent="0.25">
      <c r="A763" t="s">
        <v>105</v>
      </c>
      <c r="B763" s="43" t="s">
        <v>109</v>
      </c>
      <c r="C763" s="62">
        <f>VLOOKUP(B763,合并仓明细!$D$2:$F$74,3,0)</f>
        <v>63</v>
      </c>
      <c r="D763" t="s">
        <v>393</v>
      </c>
      <c r="E763" s="43" t="s">
        <v>282</v>
      </c>
      <c r="F763" t="s">
        <v>66</v>
      </c>
      <c r="G763">
        <v>2158.25409068</v>
      </c>
      <c r="H763"/>
      <c r="I763" s="46"/>
      <c r="J763" s="37"/>
      <c r="K763" s="37"/>
      <c r="L763" s="37"/>
      <c r="M763" s="37"/>
      <c r="N763" s="38">
        <f t="shared" si="11"/>
        <v>0</v>
      </c>
    </row>
    <row r="764" spans="1:14" x14ac:dyDescent="0.25">
      <c r="A764" t="s">
        <v>105</v>
      </c>
      <c r="B764" s="43" t="s">
        <v>109</v>
      </c>
      <c r="C764" s="62">
        <f>VLOOKUP(B764,合并仓明细!$D$2:$F$74,3,0)</f>
        <v>63</v>
      </c>
      <c r="D764" t="s">
        <v>393</v>
      </c>
      <c r="E764" s="43" t="s">
        <v>323</v>
      </c>
      <c r="F764" t="s">
        <v>66</v>
      </c>
      <c r="G764">
        <v>4.3</v>
      </c>
      <c r="H764">
        <v>4.3E-3</v>
      </c>
      <c r="L764" s="37">
        <f>IF(H764&gt;30,QUOTIENT(H764,30)*VLOOKUP(D764,'报价表-配送'!$B$54:$I$58,8,0),0)+IF(AND(MOD(H764,30)&gt;18,MOD(H764,30)&lt;=30),1,0)*VLOOKUP(D764,'报价表-配送'!$B$54:$I$58,8,0)+IF(AND(MOD(H764,30)&gt;8,MOD(H764,30)&lt;=18),1*VLOOKUP(D764,'报价表-配送'!$B$54:$I$58,7,0),0)+IF(AND(MOD(H764,30)&lt;=8,MOD(H764,30)&gt;2.5),1,0)*VLOOKUP(D764,'报价表-配送'!$B$54:$I$58,6,0)+IF(AND(MOD(H764,30)&lt;=2.5,MOD(H764,30)&gt;=1.5),1,0)*VLOOKUP(D764,'报价表-配送'!$B$54:$I$58,5,0)</f>
        <v>0</v>
      </c>
      <c r="M764" s="39">
        <f>IF(AND(MOD(H764,30)&lt;1.5,MOD(H764,30)&gt;=0.5),H764,0)*VLOOKUP(D764,'报价表-配送'!$B$54:$I$58,4,0)*1000+IF(AND(MOD(H764,30)&lt;0.5,MOD(H764,30)&gt;=0.02),H764,0)*VLOOKUP(D764,'报价表-配送'!$B$54:$I$58,3,0)*1000+IF(AND(MOD(H764,30)&lt;0.02),H764,0)*VLOOKUP(D764,'报价表-配送'!$B$54:$I$58,2,0)*1000</f>
        <v>0</v>
      </c>
      <c r="N764" s="38">
        <f t="shared" si="11"/>
        <v>0</v>
      </c>
    </row>
    <row r="765" spans="1:14" x14ac:dyDescent="0.25">
      <c r="A765" t="s">
        <v>105</v>
      </c>
      <c r="B765" s="43" t="s">
        <v>109</v>
      </c>
      <c r="C765" s="62">
        <f>VLOOKUP(B765,合并仓明细!$D$2:$F$74,3,0)</f>
        <v>63</v>
      </c>
      <c r="D765" t="s">
        <v>393</v>
      </c>
      <c r="E765" s="43" t="s">
        <v>285</v>
      </c>
      <c r="F765" t="s">
        <v>66</v>
      </c>
      <c r="G765">
        <v>1315.575</v>
      </c>
      <c r="H765">
        <v>1.3155749999999999</v>
      </c>
      <c r="L765" s="37">
        <f>IF(H765&gt;30,QUOTIENT(H765,30)*VLOOKUP(D765,'报价表-配送'!$B$54:$I$58,8,0),0)+IF(AND(MOD(H765,30)&gt;18,MOD(H765,30)&lt;=30),1,0)*VLOOKUP(D765,'报价表-配送'!$B$54:$I$58,8,0)+IF(AND(MOD(H765,30)&gt;8,MOD(H765,30)&lt;=18),1*VLOOKUP(D765,'报价表-配送'!$B$54:$I$58,7,0),0)+IF(AND(MOD(H765,30)&lt;=8,MOD(H765,30)&gt;2.5),1,0)*VLOOKUP(D765,'报价表-配送'!$B$54:$I$58,6,0)+IF(AND(MOD(H765,30)&lt;=2.5,MOD(H765,30)&gt;=1.5),1,0)*VLOOKUP(D765,'报价表-配送'!$B$54:$I$58,5,0)</f>
        <v>0</v>
      </c>
      <c r="M765" s="39">
        <f>IF(AND(MOD(H765,30)&lt;1.5,MOD(H765,30)&gt;=0.5),H765,0)*VLOOKUP(D765,'报价表-配送'!$B$54:$I$58,4,0)*1000+IF(AND(MOD(H765,30)&lt;0.5,MOD(H765,30)&gt;=0.02),H765,0)*VLOOKUP(D765,'报价表-配送'!$B$54:$I$58,3,0)*1000+IF(AND(MOD(H765,30)&lt;0.02),H765,0)*VLOOKUP(D765,'报价表-配送'!$B$54:$I$58,2,0)*1000</f>
        <v>0</v>
      </c>
      <c r="N765" s="38">
        <f t="shared" si="11"/>
        <v>0</v>
      </c>
    </row>
    <row r="766" spans="1:14" x14ac:dyDescent="0.25">
      <c r="A766" t="s">
        <v>105</v>
      </c>
      <c r="B766" s="43" t="s">
        <v>109</v>
      </c>
      <c r="C766" s="62">
        <f>VLOOKUP(B766,合并仓明细!$D$2:$F$74,3,0)</f>
        <v>63</v>
      </c>
      <c r="D766" t="s">
        <v>393</v>
      </c>
      <c r="E766" s="43" t="s">
        <v>329</v>
      </c>
      <c r="F766" t="s">
        <v>66</v>
      </c>
      <c r="G766">
        <v>337.87499998999994</v>
      </c>
      <c r="H766">
        <v>0.33787499998999992</v>
      </c>
      <c r="I766" s="46"/>
      <c r="J766" s="37"/>
      <c r="K766" s="37"/>
      <c r="L766" s="37">
        <f>IF(H766&gt;30,QUOTIENT(H766,30)*VLOOKUP(D766,'报价表-配送'!$B$54:$I$58,8,0),0)+IF(AND(MOD(H766,30)&gt;18,MOD(H766,30)&lt;=30),1,0)*VLOOKUP(D766,'报价表-配送'!$B$54:$I$58,8,0)+IF(AND(MOD(H766,30)&gt;8,MOD(H766,30)&lt;=18),1*VLOOKUP(D766,'报价表-配送'!$B$54:$I$58,7,0),0)+IF(AND(MOD(H766,30)&lt;=8,MOD(H766,30)&gt;2.5),1,0)*VLOOKUP(D766,'报价表-配送'!$B$54:$I$58,6,0)+IF(AND(MOD(H766,30)&lt;=2.5,MOD(H766,30)&gt;=1.5),1,0)*VLOOKUP(D766,'报价表-配送'!$B$54:$I$58,5,0)</f>
        <v>0</v>
      </c>
      <c r="M766" s="39">
        <f>IF(AND(MOD(H766,30)&lt;1.5,MOD(H766,30)&gt;=0.5),H766,0)*VLOOKUP(D766,'报价表-配送'!$B$54:$I$58,4,0)*1000+IF(AND(MOD(H766,30)&lt;0.5,MOD(H766,30)&gt;=0.02),H766,0)*VLOOKUP(D766,'报价表-配送'!$B$54:$I$58,3,0)*1000+IF(AND(MOD(H766,30)&lt;0.02),H766,0)*VLOOKUP(D766,'报价表-配送'!$B$54:$I$58,2,0)*1000</f>
        <v>0</v>
      </c>
      <c r="N766" s="38">
        <f t="shared" si="11"/>
        <v>0</v>
      </c>
    </row>
    <row r="767" spans="1:14" x14ac:dyDescent="0.25">
      <c r="A767" t="s">
        <v>105</v>
      </c>
      <c r="B767" s="43" t="s">
        <v>109</v>
      </c>
      <c r="C767" s="62">
        <f>VLOOKUP(B767,合并仓明细!$D$2:$F$74,3,0)</f>
        <v>63</v>
      </c>
      <c r="D767" t="s">
        <v>393</v>
      </c>
      <c r="E767" s="43" t="s">
        <v>348</v>
      </c>
      <c r="F767" t="s">
        <v>68</v>
      </c>
      <c r="G767">
        <v>8301.4619999999995</v>
      </c>
      <c r="H767">
        <v>8.9417619999999989</v>
      </c>
      <c r="I767" s="46">
        <f>ROUNDUP(H767/30,0)*VLOOKUP(D767,'报价表-配送'!$B$54:$I$58,8,0)</f>
        <v>0</v>
      </c>
      <c r="N767" s="38">
        <f t="shared" si="11"/>
        <v>0</v>
      </c>
    </row>
    <row r="768" spans="1:14" x14ac:dyDescent="0.25">
      <c r="A768" t="s">
        <v>105</v>
      </c>
      <c r="B768" s="43" t="s">
        <v>109</v>
      </c>
      <c r="C768" s="62">
        <f>VLOOKUP(B768,合并仓明细!$D$2:$F$74,3,0)</f>
        <v>63</v>
      </c>
      <c r="D768" t="s">
        <v>393</v>
      </c>
      <c r="E768" s="43" t="s">
        <v>348</v>
      </c>
      <c r="F768" t="s">
        <v>66</v>
      </c>
      <c r="G768">
        <v>640.29999999999995</v>
      </c>
      <c r="H768"/>
      <c r="N768" s="38">
        <f t="shared" si="11"/>
        <v>0</v>
      </c>
    </row>
    <row r="769" spans="1:14" x14ac:dyDescent="0.25">
      <c r="A769" t="s">
        <v>105</v>
      </c>
      <c r="B769" s="43" t="s">
        <v>109</v>
      </c>
      <c r="C769" s="62">
        <f>VLOOKUP(B769,合并仓明细!$D$2:$F$74,3,0)</f>
        <v>63</v>
      </c>
      <c r="D769" t="s">
        <v>393</v>
      </c>
      <c r="E769" s="43" t="s">
        <v>287</v>
      </c>
      <c r="F769" t="s">
        <v>66</v>
      </c>
      <c r="G769">
        <v>231.6739</v>
      </c>
      <c r="H769">
        <v>0.23167390000000002</v>
      </c>
      <c r="I769" s="46"/>
      <c r="J769" s="37"/>
      <c r="K769" s="37"/>
      <c r="L769" s="37">
        <f>IF(H769&gt;30,QUOTIENT(H769,30)*VLOOKUP(D769,'报价表-配送'!$B$54:$I$58,8,0),0)+IF(AND(MOD(H769,30)&gt;18,MOD(H769,30)&lt;=30),1,0)*VLOOKUP(D769,'报价表-配送'!$B$54:$I$58,8,0)+IF(AND(MOD(H769,30)&gt;8,MOD(H769,30)&lt;=18),1*VLOOKUP(D769,'报价表-配送'!$B$54:$I$58,7,0),0)+IF(AND(MOD(H769,30)&lt;=8,MOD(H769,30)&gt;2.5),1,0)*VLOOKUP(D769,'报价表-配送'!$B$54:$I$58,6,0)+IF(AND(MOD(H769,30)&lt;=2.5,MOD(H769,30)&gt;=1.5),1,0)*VLOOKUP(D769,'报价表-配送'!$B$54:$I$58,5,0)</f>
        <v>0</v>
      </c>
      <c r="M769" s="39">
        <f>IF(AND(MOD(H769,30)&lt;1.5,MOD(H769,30)&gt;=0.5),H769,0)*VLOOKUP(D769,'报价表-配送'!$B$54:$I$58,4,0)*1000+IF(AND(MOD(H769,30)&lt;0.5,MOD(H769,30)&gt;=0.02),H769,0)*VLOOKUP(D769,'报价表-配送'!$B$54:$I$58,3,0)*1000+IF(AND(MOD(H769,30)&lt;0.02),H769,0)*VLOOKUP(D769,'报价表-配送'!$B$54:$I$58,2,0)*1000</f>
        <v>0</v>
      </c>
      <c r="N769" s="38">
        <f t="shared" si="11"/>
        <v>0</v>
      </c>
    </row>
    <row r="770" spans="1:14" x14ac:dyDescent="0.25">
      <c r="A770" t="s">
        <v>105</v>
      </c>
      <c r="B770" s="43" t="s">
        <v>109</v>
      </c>
      <c r="C770" s="62">
        <f>VLOOKUP(B770,合并仓明细!$D$2:$F$74,3,0)</f>
        <v>63</v>
      </c>
      <c r="D770" t="s">
        <v>393</v>
      </c>
      <c r="E770" s="43" t="s">
        <v>288</v>
      </c>
      <c r="F770" t="s">
        <v>67</v>
      </c>
      <c r="G770">
        <v>21493.468463999998</v>
      </c>
      <c r="H770">
        <v>21.571468463999999</v>
      </c>
      <c r="I770" s="38">
        <f>IF(H770&gt;30,QUOTIENT(H770,30)*VLOOKUP(D770,'报价表-配送'!$B$54:$I$58,8,0),0)+IF(AND(MOD(H770,30)&gt;18,MOD(H770,30)&lt;=30),1,0)*VLOOKUP(D770,'报价表-配送'!$B$54:$I$58,8,0)</f>
        <v>0</v>
      </c>
      <c r="J770" s="38">
        <f>IF(AND(MOD(H770,30)&gt;8,MOD(H770,30)&lt;=18),1*VLOOKUP(D770,'报价表-配送'!$B$54:$I$58,7,0),0)</f>
        <v>0</v>
      </c>
      <c r="K770" s="38">
        <f>IF(AND(MOD(H770,30)&lt;=8,MOD(H770,30)&gt;0),1,0)*VLOOKUP(D770,'报价表-配送'!$B$54:$I$58,6,0)</f>
        <v>0</v>
      </c>
      <c r="N770" s="38">
        <f t="shared" si="11"/>
        <v>0</v>
      </c>
    </row>
    <row r="771" spans="1:14" x14ac:dyDescent="0.25">
      <c r="A771" t="s">
        <v>105</v>
      </c>
      <c r="B771" s="43" t="s">
        <v>109</v>
      </c>
      <c r="C771" s="62">
        <f>VLOOKUP(B771,合并仓明细!$D$2:$F$74,3,0)</f>
        <v>63</v>
      </c>
      <c r="D771" t="s">
        <v>393</v>
      </c>
      <c r="E771" s="43" t="s">
        <v>288</v>
      </c>
      <c r="F771" t="s">
        <v>66</v>
      </c>
      <c r="G771">
        <v>78</v>
      </c>
      <c r="H771"/>
      <c r="N771" s="38">
        <f t="shared" si="11"/>
        <v>0</v>
      </c>
    </row>
    <row r="772" spans="1:14" x14ac:dyDescent="0.25">
      <c r="A772" t="s">
        <v>105</v>
      </c>
      <c r="B772" s="43" t="s">
        <v>109</v>
      </c>
      <c r="C772" s="62">
        <f>VLOOKUP(B772,合并仓明细!$D$2:$F$74,3,0)</f>
        <v>63</v>
      </c>
      <c r="D772" t="s">
        <v>393</v>
      </c>
      <c r="E772" s="43" t="s">
        <v>349</v>
      </c>
      <c r="F772" t="s">
        <v>66</v>
      </c>
      <c r="G772">
        <v>10.85</v>
      </c>
      <c r="H772">
        <v>1.085E-2</v>
      </c>
      <c r="I772" s="46"/>
      <c r="J772" s="37"/>
      <c r="K772" s="37"/>
      <c r="L772" s="37">
        <f>IF(H772&gt;30,QUOTIENT(H772,30)*VLOOKUP(D772,'报价表-配送'!$B$54:$I$58,8,0),0)+IF(AND(MOD(H772,30)&gt;18,MOD(H772,30)&lt;=30),1,0)*VLOOKUP(D772,'报价表-配送'!$B$54:$I$58,8,0)+IF(AND(MOD(H772,30)&gt;8,MOD(H772,30)&lt;=18),1*VLOOKUP(D772,'报价表-配送'!$B$54:$I$58,7,0),0)+IF(AND(MOD(H772,30)&lt;=8,MOD(H772,30)&gt;2.5),1,0)*VLOOKUP(D772,'报价表-配送'!$B$54:$I$58,6,0)+IF(AND(MOD(H772,30)&lt;=2.5,MOD(H772,30)&gt;=1.5),1,0)*VLOOKUP(D772,'报价表-配送'!$B$54:$I$58,5,0)</f>
        <v>0</v>
      </c>
      <c r="M772" s="39">
        <f>IF(AND(MOD(H772,30)&lt;1.5,MOD(H772,30)&gt;=0.5),H772,0)*VLOOKUP(D772,'报价表-配送'!$B$54:$I$58,4,0)*1000+IF(AND(MOD(H772,30)&lt;0.5,MOD(H772,30)&gt;=0.02),H772,0)*VLOOKUP(D772,'报价表-配送'!$B$54:$I$58,3,0)*1000+IF(AND(MOD(H772,30)&lt;0.02),H772,0)*VLOOKUP(D772,'报价表-配送'!$B$54:$I$58,2,0)*1000</f>
        <v>0</v>
      </c>
      <c r="N772" s="38">
        <f t="shared" si="11"/>
        <v>0</v>
      </c>
    </row>
    <row r="773" spans="1:14" x14ac:dyDescent="0.25">
      <c r="A773" t="s">
        <v>105</v>
      </c>
      <c r="B773" s="43" t="s">
        <v>109</v>
      </c>
      <c r="C773" s="62">
        <f>VLOOKUP(B773,合并仓明细!$D$2:$F$74,3,0)</f>
        <v>63</v>
      </c>
      <c r="D773" t="s">
        <v>393</v>
      </c>
      <c r="E773" s="43" t="s">
        <v>340</v>
      </c>
      <c r="F773" t="s">
        <v>66</v>
      </c>
      <c r="G773">
        <v>969.31339383999989</v>
      </c>
      <c r="H773">
        <v>0.96931339383999993</v>
      </c>
      <c r="L773" s="37">
        <f>IF(H773&gt;30,QUOTIENT(H773,30)*VLOOKUP(D773,'报价表-配送'!$B$54:$I$58,8,0),0)+IF(AND(MOD(H773,30)&gt;18,MOD(H773,30)&lt;=30),1,0)*VLOOKUP(D773,'报价表-配送'!$B$54:$I$58,8,0)+IF(AND(MOD(H773,30)&gt;8,MOD(H773,30)&lt;=18),1*VLOOKUP(D773,'报价表-配送'!$B$54:$I$58,7,0),0)+IF(AND(MOD(H773,30)&lt;=8,MOD(H773,30)&gt;2.5),1,0)*VLOOKUP(D773,'报价表-配送'!$B$54:$I$58,6,0)+IF(AND(MOD(H773,30)&lt;=2.5,MOD(H773,30)&gt;=1.5),1,0)*VLOOKUP(D773,'报价表-配送'!$B$54:$I$58,5,0)</f>
        <v>0</v>
      </c>
      <c r="M773" s="39">
        <f>IF(AND(MOD(H773,30)&lt;1.5,MOD(H773,30)&gt;=0.5),H773,0)*VLOOKUP(D773,'报价表-配送'!$B$54:$I$58,4,0)*1000+IF(AND(MOD(H773,30)&lt;0.5,MOD(H773,30)&gt;=0.02),H773,0)*VLOOKUP(D773,'报价表-配送'!$B$54:$I$58,3,0)*1000+IF(AND(MOD(H773,30)&lt;0.02),H773,0)*VLOOKUP(D773,'报价表-配送'!$B$54:$I$58,2,0)*1000</f>
        <v>0</v>
      </c>
      <c r="N773" s="38">
        <f t="shared" si="11"/>
        <v>0</v>
      </c>
    </row>
    <row r="774" spans="1:14" x14ac:dyDescent="0.25">
      <c r="A774" t="s">
        <v>105</v>
      </c>
      <c r="B774" s="43" t="s">
        <v>109</v>
      </c>
      <c r="C774" s="62">
        <f>VLOOKUP(B774,合并仓明细!$D$2:$F$74,3,0)</f>
        <v>63</v>
      </c>
      <c r="D774" t="s">
        <v>393</v>
      </c>
      <c r="E774" s="43" t="s">
        <v>341</v>
      </c>
      <c r="F774" t="s">
        <v>68</v>
      </c>
      <c r="G774">
        <v>329.17775999999998</v>
      </c>
      <c r="H774">
        <v>9.0639896086699991</v>
      </c>
      <c r="I774" s="46">
        <f>ROUNDUP(H774/30,0)*VLOOKUP(D774,'报价表-配送'!$B$54:$I$58,8,0)</f>
        <v>0</v>
      </c>
      <c r="N774" s="38">
        <f t="shared" si="11"/>
        <v>0</v>
      </c>
    </row>
    <row r="775" spans="1:14" x14ac:dyDescent="0.25">
      <c r="A775" t="s">
        <v>105</v>
      </c>
      <c r="B775" s="43" t="s">
        <v>109</v>
      </c>
      <c r="C775" s="62">
        <f>VLOOKUP(B775,合并仓明细!$D$2:$F$74,3,0)</f>
        <v>63</v>
      </c>
      <c r="D775" t="s">
        <v>393</v>
      </c>
      <c r="E775" s="43" t="s">
        <v>341</v>
      </c>
      <c r="F775" t="s">
        <v>67</v>
      </c>
      <c r="G775">
        <v>5058.385644</v>
      </c>
      <c r="H775"/>
      <c r="I775" s="46"/>
      <c r="J775" s="37"/>
      <c r="K775" s="37"/>
      <c r="L775" s="37"/>
      <c r="M775" s="37"/>
      <c r="N775" s="38">
        <f t="shared" si="11"/>
        <v>0</v>
      </c>
    </row>
    <row r="776" spans="1:14" x14ac:dyDescent="0.25">
      <c r="A776" t="s">
        <v>105</v>
      </c>
      <c r="B776" s="43" t="s">
        <v>109</v>
      </c>
      <c r="C776" s="62">
        <f>VLOOKUP(B776,合并仓明细!$D$2:$F$74,3,0)</f>
        <v>63</v>
      </c>
      <c r="D776" t="s">
        <v>393</v>
      </c>
      <c r="E776" s="43" t="s">
        <v>341</v>
      </c>
      <c r="F776" t="s">
        <v>66</v>
      </c>
      <c r="G776">
        <v>3676.4262046700001</v>
      </c>
      <c r="H776"/>
      <c r="N776" s="38">
        <f t="shared" si="11"/>
        <v>0</v>
      </c>
    </row>
    <row r="777" spans="1:14" x14ac:dyDescent="0.25">
      <c r="A777" t="s">
        <v>105</v>
      </c>
      <c r="B777" s="43" t="s">
        <v>109</v>
      </c>
      <c r="C777" s="62">
        <f>VLOOKUP(B777,合并仓明细!$D$2:$F$74,3,0)</f>
        <v>63</v>
      </c>
      <c r="D777" t="s">
        <v>393</v>
      </c>
      <c r="E777" s="43" t="s">
        <v>292</v>
      </c>
      <c r="F777" t="s">
        <v>68</v>
      </c>
      <c r="G777">
        <v>1716.9479999999999</v>
      </c>
      <c r="H777">
        <v>17.238827238499997</v>
      </c>
      <c r="I777" s="46">
        <f>ROUNDUP(H777/30,0)*VLOOKUP(D777,'报价表-配送'!$B$54:$I$58,8,0)</f>
        <v>0</v>
      </c>
      <c r="N777" s="38">
        <f t="shared" si="11"/>
        <v>0</v>
      </c>
    </row>
    <row r="778" spans="1:14" x14ac:dyDescent="0.25">
      <c r="A778" t="s">
        <v>105</v>
      </c>
      <c r="B778" s="43" t="s">
        <v>109</v>
      </c>
      <c r="C778" s="62">
        <f>VLOOKUP(B778,合并仓明细!$D$2:$F$74,3,0)</f>
        <v>63</v>
      </c>
      <c r="D778" t="s">
        <v>393</v>
      </c>
      <c r="E778" s="43" t="s">
        <v>292</v>
      </c>
      <c r="F778" t="s">
        <v>67</v>
      </c>
      <c r="G778">
        <v>14820.847571999999</v>
      </c>
      <c r="H778"/>
      <c r="L778" s="37"/>
      <c r="M778" s="39"/>
      <c r="N778" s="38">
        <f t="shared" si="11"/>
        <v>0</v>
      </c>
    </row>
    <row r="779" spans="1:14" x14ac:dyDescent="0.25">
      <c r="A779" t="s">
        <v>105</v>
      </c>
      <c r="B779" s="43" t="s">
        <v>109</v>
      </c>
      <c r="C779" s="62">
        <f>VLOOKUP(B779,合并仓明细!$D$2:$F$74,3,0)</f>
        <v>63</v>
      </c>
      <c r="D779" t="s">
        <v>393</v>
      </c>
      <c r="E779" s="43" t="s">
        <v>292</v>
      </c>
      <c r="F779" t="s">
        <v>66</v>
      </c>
      <c r="G779">
        <v>701.03166650000003</v>
      </c>
      <c r="H779"/>
      <c r="I779" s="46"/>
      <c r="J779" s="37"/>
      <c r="K779" s="37"/>
      <c r="L779" s="37"/>
      <c r="M779" s="37"/>
      <c r="N779" s="38">
        <f t="shared" si="11"/>
        <v>0</v>
      </c>
    </row>
    <row r="780" spans="1:14" x14ac:dyDescent="0.25">
      <c r="A780" t="s">
        <v>105</v>
      </c>
      <c r="B780" s="43" t="s">
        <v>109</v>
      </c>
      <c r="C780" s="62">
        <f>VLOOKUP(B780,合并仓明细!$D$2:$F$74,3,0)</f>
        <v>63</v>
      </c>
      <c r="D780" t="s">
        <v>393</v>
      </c>
      <c r="E780" s="43" t="s">
        <v>295</v>
      </c>
      <c r="F780" t="s">
        <v>66</v>
      </c>
      <c r="G780">
        <v>775.94146382999998</v>
      </c>
      <c r="H780">
        <v>0.77594146382999996</v>
      </c>
      <c r="L780" s="37">
        <f>IF(H780&gt;30,QUOTIENT(H780,30)*VLOOKUP(D780,'报价表-配送'!$B$54:$I$58,8,0),0)+IF(AND(MOD(H780,30)&gt;18,MOD(H780,30)&lt;=30),1,0)*VLOOKUP(D780,'报价表-配送'!$B$54:$I$58,8,0)+IF(AND(MOD(H780,30)&gt;8,MOD(H780,30)&lt;=18),1*VLOOKUP(D780,'报价表-配送'!$B$54:$I$58,7,0),0)+IF(AND(MOD(H780,30)&lt;=8,MOD(H780,30)&gt;2.5),1,0)*VLOOKUP(D780,'报价表-配送'!$B$54:$I$58,6,0)+IF(AND(MOD(H780,30)&lt;=2.5,MOD(H780,30)&gt;=1.5),1,0)*VLOOKUP(D780,'报价表-配送'!$B$54:$I$58,5,0)</f>
        <v>0</v>
      </c>
      <c r="M780" s="39">
        <f>IF(AND(MOD(H780,30)&lt;1.5,MOD(H780,30)&gt;=0.5),H780,0)*VLOOKUP(D780,'报价表-配送'!$B$54:$I$58,4,0)*1000+IF(AND(MOD(H780,30)&lt;0.5,MOD(H780,30)&gt;=0.02),H780,0)*VLOOKUP(D780,'报价表-配送'!$B$54:$I$58,3,0)*1000+IF(AND(MOD(H780,30)&lt;0.02),H780,0)*VLOOKUP(D780,'报价表-配送'!$B$54:$I$58,2,0)*1000</f>
        <v>0</v>
      </c>
      <c r="N780" s="38">
        <f t="shared" si="11"/>
        <v>0</v>
      </c>
    </row>
    <row r="781" spans="1:14" x14ac:dyDescent="0.25">
      <c r="A781" t="s">
        <v>105</v>
      </c>
      <c r="B781" s="43" t="s">
        <v>109</v>
      </c>
      <c r="C781" s="62">
        <f>VLOOKUP(B781,合并仓明细!$D$2:$F$74,3,0)</f>
        <v>63</v>
      </c>
      <c r="D781" t="s">
        <v>393</v>
      </c>
      <c r="E781" s="43" t="s">
        <v>325</v>
      </c>
      <c r="F781" t="s">
        <v>66</v>
      </c>
      <c r="G781">
        <v>1129.8813648099999</v>
      </c>
      <c r="H781">
        <v>1.1298813648099999</v>
      </c>
      <c r="L781" s="37">
        <f>IF(H781&gt;30,QUOTIENT(H781,30)*VLOOKUP(D781,'报价表-配送'!$B$54:$I$58,8,0),0)+IF(AND(MOD(H781,30)&gt;18,MOD(H781,30)&lt;=30),1,0)*VLOOKUP(D781,'报价表-配送'!$B$54:$I$58,8,0)+IF(AND(MOD(H781,30)&gt;8,MOD(H781,30)&lt;=18),1*VLOOKUP(D781,'报价表-配送'!$B$54:$I$58,7,0),0)+IF(AND(MOD(H781,30)&lt;=8,MOD(H781,30)&gt;2.5),1,0)*VLOOKUP(D781,'报价表-配送'!$B$54:$I$58,6,0)+IF(AND(MOD(H781,30)&lt;=2.5,MOD(H781,30)&gt;=1.5),1,0)*VLOOKUP(D781,'报价表-配送'!$B$54:$I$58,5,0)</f>
        <v>0</v>
      </c>
      <c r="M781" s="39">
        <f>IF(AND(MOD(H781,30)&lt;1.5,MOD(H781,30)&gt;=0.5),H781,0)*VLOOKUP(D781,'报价表-配送'!$B$54:$I$58,4,0)*1000+IF(AND(MOD(H781,30)&lt;0.5,MOD(H781,30)&gt;=0.02),H781,0)*VLOOKUP(D781,'报价表-配送'!$B$54:$I$58,3,0)*1000+IF(AND(MOD(H781,30)&lt;0.02),H781,0)*VLOOKUP(D781,'报价表-配送'!$B$54:$I$58,2,0)*1000</f>
        <v>0</v>
      </c>
      <c r="N781" s="38">
        <f t="shared" si="11"/>
        <v>0</v>
      </c>
    </row>
    <row r="782" spans="1:14" x14ac:dyDescent="0.25">
      <c r="A782" t="s">
        <v>105</v>
      </c>
      <c r="B782" s="43" t="s">
        <v>109</v>
      </c>
      <c r="C782" s="62">
        <f>VLOOKUP(B782,合并仓明细!$D$2:$F$74,3,0)</f>
        <v>63</v>
      </c>
      <c r="D782" t="s">
        <v>393</v>
      </c>
      <c r="E782" s="43" t="s">
        <v>297</v>
      </c>
      <c r="F782" t="s">
        <v>67</v>
      </c>
      <c r="G782">
        <v>19409.730660000001</v>
      </c>
      <c r="H782">
        <v>20.62353242472</v>
      </c>
      <c r="I782" s="38">
        <f>IF(H782&gt;30,QUOTIENT(H782,30)*VLOOKUP(D782,'报价表-配送'!$B$54:$I$58,8,0),0)+IF(AND(MOD(H782,30)&gt;18,MOD(H782,30)&lt;=30),1,0)*VLOOKUP(D782,'报价表-配送'!$B$54:$I$58,8,0)</f>
        <v>0</v>
      </c>
      <c r="J782" s="38">
        <f>IF(AND(MOD(H782,30)&gt;8,MOD(H782,30)&lt;=18),1*VLOOKUP(D782,'报价表-配送'!$B$54:$I$58,7,0),0)</f>
        <v>0</v>
      </c>
      <c r="K782" s="38">
        <f>IF(AND(MOD(H782,30)&lt;=8,MOD(H782,30)&gt;0),1,0)*VLOOKUP(D782,'报价表-配送'!$B$54:$I$58,6,0)</f>
        <v>0</v>
      </c>
      <c r="L782" s="37"/>
      <c r="M782" s="37"/>
      <c r="N782" s="38">
        <f t="shared" si="11"/>
        <v>0</v>
      </c>
    </row>
    <row r="783" spans="1:14" x14ac:dyDescent="0.25">
      <c r="A783" t="s">
        <v>105</v>
      </c>
      <c r="B783" s="43" t="s">
        <v>109</v>
      </c>
      <c r="C783" s="62">
        <f>VLOOKUP(B783,合并仓明细!$D$2:$F$74,3,0)</f>
        <v>63</v>
      </c>
      <c r="D783" t="s">
        <v>393</v>
      </c>
      <c r="E783" s="43" t="s">
        <v>297</v>
      </c>
      <c r="F783" t="s">
        <v>66</v>
      </c>
      <c r="G783">
        <v>1213.8017647199997</v>
      </c>
      <c r="H783"/>
      <c r="N783" s="38">
        <f t="shared" si="11"/>
        <v>0</v>
      </c>
    </row>
    <row r="784" spans="1:14" x14ac:dyDescent="0.25">
      <c r="A784" t="s">
        <v>105</v>
      </c>
      <c r="B784" s="43" t="s">
        <v>109</v>
      </c>
      <c r="C784" s="62">
        <f>VLOOKUP(B784,合并仓明细!$D$2:$F$74,3,0)</f>
        <v>63</v>
      </c>
      <c r="D784" t="s">
        <v>393</v>
      </c>
      <c r="E784" s="43" t="s">
        <v>298</v>
      </c>
      <c r="F784" t="s">
        <v>67</v>
      </c>
      <c r="G784">
        <v>1876.0497499999999</v>
      </c>
      <c r="H784">
        <v>4.827851353759999</v>
      </c>
      <c r="I784" s="38">
        <f>IF(H784&gt;30,QUOTIENT(H784,30)*VLOOKUP(D784,'报价表-配送'!$B$54:$I$58,8,0),0)+IF(AND(MOD(H784,30)&gt;18,MOD(H784,30)&lt;=30),1,0)*VLOOKUP(D784,'报价表-配送'!$B$54:$I$58,8,0)</f>
        <v>0</v>
      </c>
      <c r="J784" s="38">
        <f>IF(AND(MOD(H784,30)&gt;8,MOD(H784,30)&lt;=18),1*VLOOKUP(D784,'报价表-配送'!$B$54:$I$58,7,0),0)</f>
        <v>0</v>
      </c>
      <c r="K784" s="38">
        <f>IF(AND(MOD(H784,30)&lt;=8,MOD(H784,30)&gt;0),1,0)*VLOOKUP(D784,'报价表-配送'!$B$54:$I$58,6,0)</f>
        <v>0</v>
      </c>
      <c r="L784" s="37"/>
      <c r="M784" s="37"/>
      <c r="N784" s="38">
        <f t="shared" si="11"/>
        <v>0</v>
      </c>
    </row>
    <row r="785" spans="1:14" x14ac:dyDescent="0.25">
      <c r="A785" t="s">
        <v>105</v>
      </c>
      <c r="B785" s="43" t="s">
        <v>109</v>
      </c>
      <c r="C785" s="62">
        <f>VLOOKUP(B785,合并仓明细!$D$2:$F$74,3,0)</f>
        <v>63</v>
      </c>
      <c r="D785" t="s">
        <v>393</v>
      </c>
      <c r="E785" s="43" t="s">
        <v>298</v>
      </c>
      <c r="F785" t="s">
        <v>66</v>
      </c>
      <c r="G785">
        <v>2951.8016037599996</v>
      </c>
      <c r="H785"/>
      <c r="N785" s="38">
        <f t="shared" si="11"/>
        <v>0</v>
      </c>
    </row>
    <row r="786" spans="1:14" x14ac:dyDescent="0.25">
      <c r="A786" t="s">
        <v>105</v>
      </c>
      <c r="B786" s="43" t="s">
        <v>109</v>
      </c>
      <c r="C786" s="62">
        <f>VLOOKUP(B786,合并仓明细!$D$2:$F$74,3,0)</f>
        <v>63</v>
      </c>
      <c r="D786" t="s">
        <v>393</v>
      </c>
      <c r="E786" s="43" t="s">
        <v>250</v>
      </c>
      <c r="F786" t="s">
        <v>68</v>
      </c>
      <c r="G786">
        <v>813.24</v>
      </c>
      <c r="H786">
        <v>14.327274469119999</v>
      </c>
      <c r="I786" s="46">
        <f>ROUNDUP(H786/30,0)*VLOOKUP(D786,'报价表-配送'!$B$54:$I$58,8,0)</f>
        <v>0</v>
      </c>
      <c r="J786" s="38"/>
      <c r="K786" s="38"/>
      <c r="L786" s="37"/>
      <c r="M786" s="37"/>
      <c r="N786" s="38">
        <f t="shared" ref="N786:N855" si="12">SUM(I786:M786)</f>
        <v>0</v>
      </c>
    </row>
    <row r="787" spans="1:14" x14ac:dyDescent="0.25">
      <c r="A787" t="s">
        <v>105</v>
      </c>
      <c r="B787" s="43" t="s">
        <v>109</v>
      </c>
      <c r="C787" s="62">
        <f>VLOOKUP(B787,合并仓明细!$D$2:$F$74,3,0)</f>
        <v>63</v>
      </c>
      <c r="D787" t="s">
        <v>393</v>
      </c>
      <c r="E787" s="43" t="s">
        <v>250</v>
      </c>
      <c r="F787" t="s">
        <v>67</v>
      </c>
      <c r="G787">
        <v>11873.38280236</v>
      </c>
      <c r="H787"/>
      <c r="N787" s="38">
        <f t="shared" si="12"/>
        <v>0</v>
      </c>
    </row>
    <row r="788" spans="1:14" x14ac:dyDescent="0.25">
      <c r="A788" t="s">
        <v>105</v>
      </c>
      <c r="B788" s="45" t="s">
        <v>109</v>
      </c>
      <c r="C788" s="62">
        <f>VLOOKUP(B788,合并仓明细!$D$2:$F$74,3,0)</f>
        <v>63</v>
      </c>
      <c r="D788" t="s">
        <v>393</v>
      </c>
      <c r="E788" s="43" t="s">
        <v>250</v>
      </c>
      <c r="F788" t="s">
        <v>66</v>
      </c>
      <c r="G788">
        <v>1640.6516667599999</v>
      </c>
      <c r="H788"/>
      <c r="L788" s="37"/>
      <c r="M788" s="39"/>
      <c r="N788" s="38">
        <f t="shared" si="12"/>
        <v>0</v>
      </c>
    </row>
    <row r="789" spans="1:14" x14ac:dyDescent="0.25">
      <c r="A789" t="s">
        <v>105</v>
      </c>
      <c r="B789" s="44" t="s">
        <v>109</v>
      </c>
      <c r="C789" s="62">
        <f>VLOOKUP(B789,合并仓明细!$D$2:$F$74,3,0)</f>
        <v>63</v>
      </c>
      <c r="D789" t="s">
        <v>393</v>
      </c>
      <c r="E789" s="43" t="s">
        <v>350</v>
      </c>
      <c r="F789" t="s">
        <v>66</v>
      </c>
      <c r="G789">
        <v>202.32494205</v>
      </c>
      <c r="H789">
        <v>0.20232494205000001</v>
      </c>
      <c r="L789" s="37">
        <f>IF(H789&gt;30,QUOTIENT(H789,30)*VLOOKUP(D789,'报价表-配送'!$B$54:$I$58,8,0),0)+IF(AND(MOD(H789,30)&gt;18,MOD(H789,30)&lt;=30),1,0)*VLOOKUP(D789,'报价表-配送'!$B$54:$I$58,8,0)+IF(AND(MOD(H789,30)&gt;8,MOD(H789,30)&lt;=18),1*VLOOKUP(D789,'报价表-配送'!$B$54:$I$58,7,0),0)+IF(AND(MOD(H789,30)&lt;=8,MOD(H789,30)&gt;2.5),1,0)*VLOOKUP(D789,'报价表-配送'!$B$54:$I$58,6,0)+IF(AND(MOD(H789,30)&lt;=2.5,MOD(H789,30)&gt;=1.5),1,0)*VLOOKUP(D789,'报价表-配送'!$B$54:$I$58,5,0)</f>
        <v>0</v>
      </c>
      <c r="M789" s="39">
        <f>IF(AND(MOD(H789,30)&lt;1.5,MOD(H789,30)&gt;=0.5),H789,0)*VLOOKUP(D789,'报价表-配送'!$B$54:$I$58,4,0)*1000+IF(AND(MOD(H789,30)&lt;0.5,MOD(H789,30)&gt;=0.02),H789,0)*VLOOKUP(D789,'报价表-配送'!$B$54:$I$58,3,0)*1000+IF(AND(MOD(H789,30)&lt;0.02),H789,0)*VLOOKUP(D789,'报价表-配送'!$B$54:$I$58,2,0)*1000</f>
        <v>0</v>
      </c>
      <c r="N789" s="38">
        <f t="shared" si="12"/>
        <v>0</v>
      </c>
    </row>
    <row r="790" spans="1:14" x14ac:dyDescent="0.25">
      <c r="A790" t="s">
        <v>105</v>
      </c>
      <c r="B790" s="43" t="s">
        <v>109</v>
      </c>
      <c r="C790" s="62">
        <f>VLOOKUP(B790,合并仓明细!$D$2:$F$74,3,0)</f>
        <v>63</v>
      </c>
      <c r="D790" t="s">
        <v>393</v>
      </c>
      <c r="E790" s="43" t="s">
        <v>343</v>
      </c>
      <c r="F790" t="s">
        <v>66</v>
      </c>
      <c r="G790">
        <v>59.2</v>
      </c>
      <c r="H790">
        <v>5.9200000000000003E-2</v>
      </c>
      <c r="I790" s="38"/>
      <c r="J790" s="38"/>
      <c r="K790" s="38"/>
      <c r="L790" s="37">
        <f>IF(H790&gt;30,QUOTIENT(H790,30)*VLOOKUP(D790,'报价表-配送'!$B$54:$I$58,8,0),0)+IF(AND(MOD(H790,30)&gt;18,MOD(H790,30)&lt;=30),1,0)*VLOOKUP(D790,'报价表-配送'!$B$54:$I$58,8,0)+IF(AND(MOD(H790,30)&gt;8,MOD(H790,30)&lt;=18),1*VLOOKUP(D790,'报价表-配送'!$B$54:$I$58,7,0),0)+IF(AND(MOD(H790,30)&lt;=8,MOD(H790,30)&gt;2.5),1,0)*VLOOKUP(D790,'报价表-配送'!$B$54:$I$58,6,0)+IF(AND(MOD(H790,30)&lt;=2.5,MOD(H790,30)&gt;=1.5),1,0)*VLOOKUP(D790,'报价表-配送'!$B$54:$I$58,5,0)</f>
        <v>0</v>
      </c>
      <c r="M790" s="39">
        <f>IF(AND(MOD(H790,30)&lt;1.5,MOD(H790,30)&gt;=0.5),H790,0)*VLOOKUP(D790,'报价表-配送'!$B$54:$I$58,4,0)*1000+IF(AND(MOD(H790,30)&lt;0.5,MOD(H790,30)&gt;=0.02),H790,0)*VLOOKUP(D790,'报价表-配送'!$B$54:$I$58,3,0)*1000+IF(AND(MOD(H790,30)&lt;0.02),H790,0)*VLOOKUP(D790,'报价表-配送'!$B$54:$I$58,2,0)*1000</f>
        <v>0</v>
      </c>
      <c r="N790" s="38">
        <f t="shared" si="12"/>
        <v>0</v>
      </c>
    </row>
    <row r="791" spans="1:14" x14ac:dyDescent="0.25">
      <c r="A791" t="s">
        <v>105</v>
      </c>
      <c r="B791" s="43" t="s">
        <v>109</v>
      </c>
      <c r="C791" s="62">
        <f>VLOOKUP(B791,合并仓明细!$D$2:$F$74,3,0)</f>
        <v>63</v>
      </c>
      <c r="D791" t="s">
        <v>393</v>
      </c>
      <c r="E791" s="43" t="s">
        <v>319</v>
      </c>
      <c r="F791" t="s">
        <v>66</v>
      </c>
      <c r="G791">
        <v>62.8</v>
      </c>
      <c r="H791">
        <v>6.2799999999999995E-2</v>
      </c>
      <c r="L791" s="37">
        <f>IF(H791&gt;30,QUOTIENT(H791,30)*VLOOKUP(D791,'报价表-配送'!$B$54:$I$58,8,0),0)+IF(AND(MOD(H791,30)&gt;18,MOD(H791,30)&lt;=30),1,0)*VLOOKUP(D791,'报价表-配送'!$B$54:$I$58,8,0)+IF(AND(MOD(H791,30)&gt;8,MOD(H791,30)&lt;=18),1*VLOOKUP(D791,'报价表-配送'!$B$54:$I$58,7,0),0)+IF(AND(MOD(H791,30)&lt;=8,MOD(H791,30)&gt;2.5),1,0)*VLOOKUP(D791,'报价表-配送'!$B$54:$I$58,6,0)+IF(AND(MOD(H791,30)&lt;=2.5,MOD(H791,30)&gt;=1.5),1,0)*VLOOKUP(D791,'报价表-配送'!$B$54:$I$58,5,0)</f>
        <v>0</v>
      </c>
      <c r="M791" s="39">
        <f>IF(AND(MOD(H791,30)&lt;1.5,MOD(H791,30)&gt;=0.5),H791,0)*VLOOKUP(D791,'报价表-配送'!$B$54:$I$58,4,0)*1000+IF(AND(MOD(H791,30)&lt;0.5,MOD(H791,30)&gt;=0.02),H791,0)*VLOOKUP(D791,'报价表-配送'!$B$54:$I$58,3,0)*1000+IF(AND(MOD(H791,30)&lt;0.02),H791,0)*VLOOKUP(D791,'报价表-配送'!$B$54:$I$58,2,0)*1000</f>
        <v>0</v>
      </c>
      <c r="N791" s="38">
        <f t="shared" si="12"/>
        <v>0</v>
      </c>
    </row>
    <row r="792" spans="1:14" x14ac:dyDescent="0.25">
      <c r="A792" t="s">
        <v>105</v>
      </c>
      <c r="B792" s="43" t="s">
        <v>109</v>
      </c>
      <c r="C792" s="62">
        <f>VLOOKUP(B792,合并仓明细!$D$2:$F$74,3,0)</f>
        <v>63</v>
      </c>
      <c r="D792" t="s">
        <v>393</v>
      </c>
      <c r="E792" s="43" t="s">
        <v>300</v>
      </c>
      <c r="F792" t="s">
        <v>67</v>
      </c>
      <c r="G792">
        <v>17884.528979999999</v>
      </c>
      <c r="H792">
        <v>19.717783976</v>
      </c>
      <c r="I792" s="38">
        <f>IF(H792&gt;30,QUOTIENT(H792,30)*VLOOKUP(D792,'报价表-配送'!$B$54:$I$58,8,0),0)+IF(AND(MOD(H792,30)&gt;18,MOD(H792,30)&lt;=30),1,0)*VLOOKUP(D792,'报价表-配送'!$B$54:$I$58,8,0)</f>
        <v>0</v>
      </c>
      <c r="J792" s="38">
        <f>IF(AND(MOD(H792,30)&gt;8,MOD(H792,30)&lt;=18),1*VLOOKUP(D792,'报价表-配送'!$B$54:$I$58,7,0),0)</f>
        <v>0</v>
      </c>
      <c r="K792" s="38">
        <f>IF(AND(MOD(H792,30)&lt;=8,MOD(H792,30)&gt;0),1,0)*VLOOKUP(D792,'报价表-配送'!$B$54:$I$58,6,0)</f>
        <v>0</v>
      </c>
      <c r="L792" s="37"/>
      <c r="M792" s="37"/>
      <c r="N792" s="38">
        <f t="shared" si="12"/>
        <v>0</v>
      </c>
    </row>
    <row r="793" spans="1:14" x14ac:dyDescent="0.25">
      <c r="A793" t="s">
        <v>105</v>
      </c>
      <c r="B793" s="43" t="s">
        <v>109</v>
      </c>
      <c r="C793" s="62">
        <f>VLOOKUP(B793,合并仓明细!$D$2:$F$74,3,0)</f>
        <v>63</v>
      </c>
      <c r="D793" t="s">
        <v>393</v>
      </c>
      <c r="E793" s="43" t="s">
        <v>300</v>
      </c>
      <c r="F793" t="s">
        <v>66</v>
      </c>
      <c r="G793">
        <v>1833.2549960000001</v>
      </c>
      <c r="H793"/>
      <c r="N793" s="38">
        <f t="shared" si="12"/>
        <v>0</v>
      </c>
    </row>
    <row r="794" spans="1:14" x14ac:dyDescent="0.25">
      <c r="A794" t="s">
        <v>105</v>
      </c>
      <c r="B794" s="43" t="s">
        <v>109</v>
      </c>
      <c r="C794" s="62">
        <f>VLOOKUP(B794,合并仓明细!$D$2:$F$74,3,0)</f>
        <v>63</v>
      </c>
      <c r="D794" t="s">
        <v>393</v>
      </c>
      <c r="E794" s="43" t="s">
        <v>251</v>
      </c>
      <c r="F794" t="s">
        <v>68</v>
      </c>
      <c r="G794">
        <v>518.47019520000003</v>
      </c>
      <c r="H794">
        <v>25.588104819600002</v>
      </c>
      <c r="I794" s="46">
        <f>ROUNDUP(H794/30,0)*VLOOKUP(D794,'报价表-配送'!$B$54:$I$58,8,0)</f>
        <v>0</v>
      </c>
      <c r="L794" s="37"/>
      <c r="M794" s="39"/>
      <c r="N794" s="38">
        <f t="shared" si="12"/>
        <v>0</v>
      </c>
    </row>
    <row r="795" spans="1:14" x14ac:dyDescent="0.25">
      <c r="A795" t="s">
        <v>105</v>
      </c>
      <c r="B795" s="43" t="s">
        <v>109</v>
      </c>
      <c r="C795" s="62">
        <f>VLOOKUP(B795,合并仓明细!$D$2:$F$74,3,0)</f>
        <v>63</v>
      </c>
      <c r="D795" t="s">
        <v>393</v>
      </c>
      <c r="E795" s="43" t="s">
        <v>251</v>
      </c>
      <c r="F795" t="s">
        <v>67</v>
      </c>
      <c r="G795">
        <v>24256.909626000001</v>
      </c>
      <c r="H795"/>
      <c r="L795" s="37"/>
      <c r="M795" s="39"/>
      <c r="N795" s="38">
        <f t="shared" si="12"/>
        <v>0</v>
      </c>
    </row>
    <row r="796" spans="1:14" x14ac:dyDescent="0.25">
      <c r="A796" t="s">
        <v>105</v>
      </c>
      <c r="B796" s="43" t="s">
        <v>109</v>
      </c>
      <c r="C796" s="62">
        <f>VLOOKUP(B796,合并仓明细!$D$2:$F$74,3,0)</f>
        <v>63</v>
      </c>
      <c r="D796" t="s">
        <v>393</v>
      </c>
      <c r="E796" s="43" t="s">
        <v>251</v>
      </c>
      <c r="F796" t="s">
        <v>66</v>
      </c>
      <c r="G796">
        <v>812.7249984</v>
      </c>
      <c r="H796"/>
      <c r="I796" s="38"/>
      <c r="J796" s="38"/>
      <c r="K796" s="38"/>
      <c r="L796" s="37"/>
      <c r="M796" s="37"/>
      <c r="N796" s="38">
        <f t="shared" si="12"/>
        <v>0</v>
      </c>
    </row>
    <row r="797" spans="1:14" x14ac:dyDescent="0.25">
      <c r="A797" t="s">
        <v>105</v>
      </c>
      <c r="B797" s="43" t="s">
        <v>109</v>
      </c>
      <c r="C797" s="62">
        <f>VLOOKUP(B797,合并仓明细!$D$2:$F$74,3,0)</f>
        <v>63</v>
      </c>
      <c r="D797" t="s">
        <v>393</v>
      </c>
      <c r="E797" s="43" t="s">
        <v>303</v>
      </c>
      <c r="F797" t="s">
        <v>67</v>
      </c>
      <c r="G797">
        <v>5373.4543979999999</v>
      </c>
      <c r="H797">
        <v>5.8922368977099993</v>
      </c>
      <c r="I797" s="38">
        <f>IF(H797&gt;30,QUOTIENT(H797,30)*VLOOKUP(D797,'报价表-配送'!$B$54:$I$58,8,0),0)+IF(AND(MOD(H797,30)&gt;18,MOD(H797,30)&lt;=30),1,0)*VLOOKUP(D797,'报价表-配送'!$B$54:$I$58,8,0)</f>
        <v>0</v>
      </c>
      <c r="J797" s="38">
        <f>IF(AND(MOD(H797,30)&gt;8,MOD(H797,30)&lt;=18),1*VLOOKUP(D797,'报价表-配送'!$B$54:$I$58,7,0),0)</f>
        <v>0</v>
      </c>
      <c r="K797" s="38">
        <f>IF(AND(MOD(H797,30)&lt;=8,MOD(H797,30)&gt;0),1,0)*VLOOKUP(D797,'报价表-配送'!$B$54:$I$58,6,0)</f>
        <v>0</v>
      </c>
      <c r="N797" s="38">
        <f t="shared" si="12"/>
        <v>0</v>
      </c>
    </row>
    <row r="798" spans="1:14" x14ac:dyDescent="0.25">
      <c r="A798" t="s">
        <v>105</v>
      </c>
      <c r="B798" s="43" t="s">
        <v>109</v>
      </c>
      <c r="C798" s="62">
        <f>VLOOKUP(B798,合并仓明细!$D$2:$F$74,3,0)</f>
        <v>63</v>
      </c>
      <c r="D798" t="s">
        <v>393</v>
      </c>
      <c r="E798" s="43" t="s">
        <v>303</v>
      </c>
      <c r="F798" t="s">
        <v>66</v>
      </c>
      <c r="G798">
        <v>518.78249971000002</v>
      </c>
      <c r="H798"/>
      <c r="I798" s="46"/>
      <c r="J798" s="37"/>
      <c r="K798" s="37"/>
      <c r="L798" s="37"/>
      <c r="M798" s="37"/>
      <c r="N798" s="38">
        <f t="shared" si="12"/>
        <v>0</v>
      </c>
    </row>
    <row r="799" spans="1:14" x14ac:dyDescent="0.25">
      <c r="A799" t="s">
        <v>105</v>
      </c>
      <c r="B799" s="43" t="s">
        <v>109</v>
      </c>
      <c r="C799" s="62">
        <f>VLOOKUP(B799,合并仓明细!$D$2:$F$74,3,0)</f>
        <v>63</v>
      </c>
      <c r="D799" t="s">
        <v>393</v>
      </c>
      <c r="E799" s="43" t="s">
        <v>252</v>
      </c>
      <c r="F799" t="s">
        <v>68</v>
      </c>
      <c r="G799">
        <v>7201.9826400000002</v>
      </c>
      <c r="H799">
        <v>12.280157311190001</v>
      </c>
      <c r="I799" s="46">
        <f>ROUNDUP(H799/30,0)*VLOOKUP(D799,'报价表-配送'!$B$54:$I$58,8,0)</f>
        <v>0</v>
      </c>
      <c r="N799" s="38">
        <f t="shared" si="12"/>
        <v>0</v>
      </c>
    </row>
    <row r="800" spans="1:14" x14ac:dyDescent="0.25">
      <c r="A800" t="s">
        <v>105</v>
      </c>
      <c r="B800" s="43" t="s">
        <v>109</v>
      </c>
      <c r="C800" s="62">
        <f>VLOOKUP(B800,合并仓明细!$D$2:$F$74,3,0)</f>
        <v>63</v>
      </c>
      <c r="D800" t="s">
        <v>393</v>
      </c>
      <c r="E800" s="43" t="s">
        <v>252</v>
      </c>
      <c r="F800" t="s">
        <v>67</v>
      </c>
      <c r="G800">
        <v>1555.74846</v>
      </c>
      <c r="H800"/>
      <c r="N800" s="38">
        <f t="shared" si="12"/>
        <v>0</v>
      </c>
    </row>
    <row r="801" spans="1:14" x14ac:dyDescent="0.25">
      <c r="A801" t="s">
        <v>105</v>
      </c>
      <c r="B801" s="43" t="s">
        <v>109</v>
      </c>
      <c r="C801" s="62">
        <f>VLOOKUP(B801,合并仓明细!$D$2:$F$74,3,0)</f>
        <v>63</v>
      </c>
      <c r="D801" t="s">
        <v>393</v>
      </c>
      <c r="E801" s="43" t="s">
        <v>252</v>
      </c>
      <c r="F801" t="s">
        <v>66</v>
      </c>
      <c r="G801">
        <v>3522.4262111900002</v>
      </c>
      <c r="H801"/>
      <c r="I801" s="38"/>
      <c r="J801" s="38"/>
      <c r="K801" s="38"/>
      <c r="L801" s="37"/>
      <c r="M801" s="37"/>
      <c r="N801" s="38">
        <f t="shared" si="12"/>
        <v>0</v>
      </c>
    </row>
    <row r="802" spans="1:14" x14ac:dyDescent="0.25">
      <c r="A802" t="s">
        <v>105</v>
      </c>
      <c r="B802" s="45" t="s">
        <v>109</v>
      </c>
      <c r="C802" s="62">
        <f>VLOOKUP(B802,合并仓明细!$D$2:$F$74,3,0)</f>
        <v>63</v>
      </c>
      <c r="D802" t="s">
        <v>393</v>
      </c>
      <c r="E802" s="43" t="s">
        <v>304</v>
      </c>
      <c r="F802" t="s">
        <v>66</v>
      </c>
      <c r="G802">
        <v>3803.5719506599999</v>
      </c>
      <c r="H802">
        <v>3.8035719506599999</v>
      </c>
      <c r="L802" s="37">
        <f>IF(H802&gt;30,QUOTIENT(H802,30)*VLOOKUP(D802,'报价表-配送'!$B$54:$I$58,8,0),0)+IF(AND(MOD(H802,30)&gt;18,MOD(H802,30)&lt;=30),1,0)*VLOOKUP(D802,'报价表-配送'!$B$54:$I$58,8,0)+IF(AND(MOD(H802,30)&gt;8,MOD(H802,30)&lt;=18),1*VLOOKUP(D802,'报价表-配送'!$B$54:$I$58,7,0),0)+IF(AND(MOD(H802,30)&lt;=8,MOD(H802,30)&gt;2.5),1,0)*VLOOKUP(D802,'报价表-配送'!$B$54:$I$58,6,0)+IF(AND(MOD(H802,30)&lt;=2.5,MOD(H802,30)&gt;=1.5),1,0)*VLOOKUP(D802,'报价表-配送'!$B$54:$I$58,5,0)</f>
        <v>0</v>
      </c>
      <c r="M802" s="39">
        <f>IF(AND(MOD(H802,30)&lt;1.5,MOD(H802,30)&gt;=0.5),H802,0)*VLOOKUP(D802,'报价表-配送'!$B$54:$I$58,4,0)*1000+IF(AND(MOD(H802,30)&lt;0.5,MOD(H802,30)&gt;=0.02),H802,0)*VLOOKUP(D802,'报价表-配送'!$B$54:$I$58,3,0)*1000+IF(AND(MOD(H802,30)&lt;0.02),H802,0)*VLOOKUP(D802,'报价表-配送'!$B$54:$I$58,2,0)*1000</f>
        <v>0</v>
      </c>
      <c r="N802" s="38">
        <f t="shared" si="12"/>
        <v>0</v>
      </c>
    </row>
    <row r="803" spans="1:14" x14ac:dyDescent="0.25">
      <c r="A803" t="s">
        <v>105</v>
      </c>
      <c r="B803" s="44" t="s">
        <v>109</v>
      </c>
      <c r="C803" s="62">
        <f>VLOOKUP(B803,合并仓明细!$D$2:$F$74,3,0)</f>
        <v>63</v>
      </c>
      <c r="D803" t="s">
        <v>393</v>
      </c>
      <c r="E803" s="43" t="s">
        <v>305</v>
      </c>
      <c r="F803" t="s">
        <v>68</v>
      </c>
      <c r="G803">
        <v>855.35220000000004</v>
      </c>
      <c r="H803">
        <v>5.5880424846800008</v>
      </c>
      <c r="I803" s="46">
        <f>ROUNDUP(H803/30,0)*VLOOKUP(D803,'报价表-配送'!$B$54:$I$58,8,0)</f>
        <v>0</v>
      </c>
      <c r="L803" s="37"/>
      <c r="M803" s="39"/>
      <c r="N803" s="38">
        <f t="shared" si="12"/>
        <v>0</v>
      </c>
    </row>
    <row r="804" spans="1:14" x14ac:dyDescent="0.25">
      <c r="A804" t="s">
        <v>105</v>
      </c>
      <c r="B804" s="43" t="s">
        <v>109</v>
      </c>
      <c r="C804" s="62">
        <f>VLOOKUP(B804,合并仓明细!$D$2:$F$74,3,0)</f>
        <v>63</v>
      </c>
      <c r="D804" t="s">
        <v>393</v>
      </c>
      <c r="E804" s="43" t="s">
        <v>305</v>
      </c>
      <c r="F804" t="s">
        <v>67</v>
      </c>
      <c r="G804">
        <v>3740.7283200000002</v>
      </c>
      <c r="H804"/>
      <c r="I804" s="46"/>
      <c r="J804" s="37"/>
      <c r="K804" s="37"/>
      <c r="L804" s="37"/>
      <c r="M804" s="37"/>
      <c r="N804" s="38">
        <f t="shared" si="12"/>
        <v>0</v>
      </c>
    </row>
    <row r="805" spans="1:14" x14ac:dyDescent="0.25">
      <c r="A805" t="s">
        <v>105</v>
      </c>
      <c r="B805" s="43" t="s">
        <v>109</v>
      </c>
      <c r="C805" s="62">
        <f>VLOOKUP(B805,合并仓明细!$D$2:$F$74,3,0)</f>
        <v>63</v>
      </c>
      <c r="D805" t="s">
        <v>393</v>
      </c>
      <c r="E805" s="43" t="s">
        <v>305</v>
      </c>
      <c r="F805" t="s">
        <v>66</v>
      </c>
      <c r="G805">
        <v>991.96196467999994</v>
      </c>
      <c r="H805"/>
      <c r="N805" s="38">
        <f t="shared" si="12"/>
        <v>0</v>
      </c>
    </row>
    <row r="806" spans="1:14" x14ac:dyDescent="0.25">
      <c r="A806" t="s">
        <v>105</v>
      </c>
      <c r="B806" s="43" t="s">
        <v>109</v>
      </c>
      <c r="C806" s="62">
        <f>VLOOKUP(B806,合并仓明细!$D$2:$F$74,3,0)</f>
        <v>63</v>
      </c>
      <c r="D806" t="s">
        <v>393</v>
      </c>
      <c r="E806" s="43" t="s">
        <v>332</v>
      </c>
      <c r="F806" t="s">
        <v>66</v>
      </c>
      <c r="G806">
        <v>662.5</v>
      </c>
      <c r="H806">
        <v>0.66249999999999998</v>
      </c>
      <c r="L806" s="37">
        <f>IF(H806&gt;30,QUOTIENT(H806,30)*VLOOKUP(D806,'报价表-配送'!$B$54:$I$58,8,0),0)+IF(AND(MOD(H806,30)&gt;18,MOD(H806,30)&lt;=30),1,0)*VLOOKUP(D806,'报价表-配送'!$B$54:$I$58,8,0)+IF(AND(MOD(H806,30)&gt;8,MOD(H806,30)&lt;=18),1*VLOOKUP(D806,'报价表-配送'!$B$54:$I$58,7,0),0)+IF(AND(MOD(H806,30)&lt;=8,MOD(H806,30)&gt;2.5),1,0)*VLOOKUP(D806,'报价表-配送'!$B$54:$I$58,6,0)+IF(AND(MOD(H806,30)&lt;=2.5,MOD(H806,30)&gt;=1.5),1,0)*VLOOKUP(D806,'报价表-配送'!$B$54:$I$58,5,0)</f>
        <v>0</v>
      </c>
      <c r="M806" s="39">
        <f>IF(AND(MOD(H806,30)&lt;1.5,MOD(H806,30)&gt;=0.5),H806,0)*VLOOKUP(D806,'报价表-配送'!$B$54:$I$58,4,0)*1000+IF(AND(MOD(H806,30)&lt;0.5,MOD(H806,30)&gt;=0.02),H806,0)*VLOOKUP(D806,'报价表-配送'!$B$54:$I$58,3,0)*1000+IF(AND(MOD(H806,30)&lt;0.02),H806,0)*VLOOKUP(D806,'报价表-配送'!$B$54:$I$58,2,0)*1000</f>
        <v>0</v>
      </c>
      <c r="N806" s="38">
        <f t="shared" si="12"/>
        <v>0</v>
      </c>
    </row>
    <row r="807" spans="1:14" x14ac:dyDescent="0.25">
      <c r="A807" s="103" t="s">
        <v>105</v>
      </c>
      <c r="B807" s="106" t="s">
        <v>109</v>
      </c>
      <c r="C807" s="62">
        <f>VLOOKUP(B807,合并仓明细!$D$2:$F$74,3,0)</f>
        <v>63</v>
      </c>
      <c r="D807" s="103" t="s">
        <v>528</v>
      </c>
      <c r="E807" s="106" t="s">
        <v>332</v>
      </c>
      <c r="F807" s="103" t="s">
        <v>67</v>
      </c>
      <c r="G807" s="103">
        <v>39000</v>
      </c>
      <c r="H807">
        <v>39</v>
      </c>
      <c r="I807" s="38">
        <f>IF(H807&gt;30,QUOTIENT(H807,30)*VLOOKUP(D807,'报价表-配送'!$B$54:$I$58,8,0),0)+IF(AND(MOD(H807,30)&gt;18,MOD(H807,30)&lt;=30),1,0)*VLOOKUP(D807,'报价表-配送'!$B$54:$I$58,8,0)</f>
        <v>0</v>
      </c>
      <c r="J807" s="38">
        <f>IF(AND(MOD(H807,30)&gt;8,MOD(H807,30)&lt;=18),1*VLOOKUP(D807,'报价表-配送'!$B$54:$I$58,7,0),0)</f>
        <v>0</v>
      </c>
      <c r="K807" s="38">
        <f>IF(AND(MOD(H807,30)&lt;=8,MOD(H807,30)&gt;0),1,0)*VLOOKUP(D807,'报价表-配送'!$B$54:$I$58,6,0)</f>
        <v>0</v>
      </c>
      <c r="L807" s="37"/>
      <c r="M807" s="39"/>
      <c r="N807" s="38">
        <f t="shared" si="12"/>
        <v>0</v>
      </c>
    </row>
    <row r="808" spans="1:14" x14ac:dyDescent="0.25">
      <c r="A808" s="103" t="s">
        <v>105</v>
      </c>
      <c r="B808" s="106" t="s">
        <v>109</v>
      </c>
      <c r="C808" s="62">
        <f>VLOOKUP(B808,合并仓明细!$D$2:$F$74,3,0)</f>
        <v>63</v>
      </c>
      <c r="D808" s="103" t="s">
        <v>528</v>
      </c>
      <c r="E808" s="106" t="s">
        <v>332</v>
      </c>
      <c r="F808" s="103" t="s">
        <v>67</v>
      </c>
      <c r="G808" s="103">
        <v>8000</v>
      </c>
      <c r="H808">
        <v>8</v>
      </c>
      <c r="I808" s="38">
        <f>IF(H808&gt;30,QUOTIENT(H808,30)*VLOOKUP(D808,'报价表-配送'!$B$54:$I$58,8,0),0)+IF(AND(MOD(H808,30)&gt;18,MOD(H808,30)&lt;=30),1,0)*VLOOKUP(D808,'报价表-配送'!$B$54:$I$58,8,0)</f>
        <v>0</v>
      </c>
      <c r="J808" s="38">
        <f>IF(AND(MOD(H808,30)&gt;8,MOD(H808,30)&lt;=18),1*VLOOKUP(D808,'报价表-配送'!$B$54:$I$58,7,0),0)</f>
        <v>0</v>
      </c>
      <c r="K808" s="38">
        <f>IF(AND(MOD(H808,30)&lt;=8,MOD(H808,30)&gt;0),1,0)*VLOOKUP(D808,'报价表-配送'!$B$54:$I$58,6,0)</f>
        <v>0</v>
      </c>
      <c r="L808" s="37"/>
      <c r="M808" s="39"/>
      <c r="N808" s="38">
        <f t="shared" si="12"/>
        <v>0</v>
      </c>
    </row>
    <row r="809" spans="1:14" x14ac:dyDescent="0.25">
      <c r="A809" s="103" t="s">
        <v>105</v>
      </c>
      <c r="B809" s="106" t="s">
        <v>109</v>
      </c>
      <c r="C809" s="62">
        <f>VLOOKUP(B809,合并仓明细!$D$2:$F$74,3,0)</f>
        <v>63</v>
      </c>
      <c r="D809" s="103" t="s">
        <v>528</v>
      </c>
      <c r="E809" s="106" t="s">
        <v>332</v>
      </c>
      <c r="F809" s="103" t="s">
        <v>66</v>
      </c>
      <c r="G809" s="103">
        <v>2500</v>
      </c>
      <c r="H809">
        <v>2.5</v>
      </c>
      <c r="L809" s="37">
        <f>IF(H809&gt;30,QUOTIENT(H809,30)*VLOOKUP(D809,'报价表-配送'!$B$54:$I$58,8,0),0)+IF(AND(MOD(H809,30)&gt;18,MOD(H809,30)&lt;=30),1,0)*VLOOKUP(D809,'报价表-配送'!$B$54:$I$58,8,0)+IF(AND(MOD(H809,30)&gt;8,MOD(H809,30)&lt;=18),1*VLOOKUP(D809,'报价表-配送'!$B$54:$I$58,7,0),0)+IF(AND(MOD(H809,30)&lt;=8,MOD(H809,30)&gt;2.5),1,0)*VLOOKUP(D809,'报价表-配送'!$B$54:$I$58,6,0)+IF(AND(MOD(H809,30)&lt;=2.5,MOD(H809,30)&gt;=1.5),1,0)*VLOOKUP(D809,'报价表-配送'!$B$54:$I$58,5,0)</f>
        <v>0</v>
      </c>
      <c r="M809" s="39">
        <f>IF(AND(MOD(H809,30)&lt;1.5,MOD(H809,30)&gt;=0.5),H809,0)*VLOOKUP(D809,'报价表-配送'!$B$54:$I$58,4,0)*1000+IF(AND(MOD(H809,30)&lt;0.5,MOD(H809,30)&gt;=0.02),H809,0)*VLOOKUP(D809,'报价表-配送'!$B$54:$I$58,3,0)*1000+IF(AND(MOD(H809,30)&lt;0.02),H809,0)*VLOOKUP(D809,'报价表-配送'!$B$54:$I$58,2,0)*1000</f>
        <v>0</v>
      </c>
      <c r="N809" s="38">
        <f t="shared" si="12"/>
        <v>0</v>
      </c>
    </row>
    <row r="810" spans="1:14" x14ac:dyDescent="0.25">
      <c r="A810" s="103" t="s">
        <v>105</v>
      </c>
      <c r="B810" s="106" t="s">
        <v>109</v>
      </c>
      <c r="C810" s="62">
        <f>VLOOKUP(B810,合并仓明细!$D$2:$F$74,3,0)</f>
        <v>63</v>
      </c>
      <c r="D810" s="103" t="s">
        <v>528</v>
      </c>
      <c r="E810" s="106" t="s">
        <v>332</v>
      </c>
      <c r="F810" s="103" t="s">
        <v>66</v>
      </c>
      <c r="G810" s="103">
        <v>1000</v>
      </c>
      <c r="H810">
        <v>1</v>
      </c>
      <c r="L810" s="37">
        <f>IF(H810&gt;30,QUOTIENT(H810,30)*VLOOKUP(D810,'报价表-配送'!$B$54:$I$58,8,0),0)+IF(AND(MOD(H810,30)&gt;18,MOD(H810,30)&lt;=30),1,0)*VLOOKUP(D810,'报价表-配送'!$B$54:$I$58,8,0)+IF(AND(MOD(H810,30)&gt;8,MOD(H810,30)&lt;=18),1*VLOOKUP(D810,'报价表-配送'!$B$54:$I$58,7,0),0)+IF(AND(MOD(H810,30)&lt;=8,MOD(H810,30)&gt;2.5),1,0)*VLOOKUP(D810,'报价表-配送'!$B$54:$I$58,6,0)+IF(AND(MOD(H810,30)&lt;=2.5,MOD(H810,30)&gt;=1.5),1,0)*VLOOKUP(D810,'报价表-配送'!$B$54:$I$58,5,0)</f>
        <v>0</v>
      </c>
      <c r="M810" s="39">
        <f>IF(AND(MOD(H810,30)&lt;1.5,MOD(H810,30)&gt;=0.5),H810,0)*VLOOKUP(D810,'报价表-配送'!$B$54:$I$58,4,0)*1000+IF(AND(MOD(H810,30)&lt;0.5,MOD(H810,30)&gt;=0.02),H810,0)*VLOOKUP(D810,'报价表-配送'!$B$54:$I$58,3,0)*1000+IF(AND(MOD(H810,30)&lt;0.02),H810,0)*VLOOKUP(D810,'报价表-配送'!$B$54:$I$58,2,0)*1000</f>
        <v>0</v>
      </c>
      <c r="N810" s="38">
        <f t="shared" si="12"/>
        <v>0</v>
      </c>
    </row>
    <row r="811" spans="1:14" x14ac:dyDescent="0.25">
      <c r="A811" s="103" t="s">
        <v>105</v>
      </c>
      <c r="B811" s="106" t="s">
        <v>109</v>
      </c>
      <c r="C811" s="62">
        <f>VLOOKUP(B811,合并仓明细!$D$2:$F$74,3,0)</f>
        <v>63</v>
      </c>
      <c r="D811" s="103" t="s">
        <v>528</v>
      </c>
      <c r="E811" s="106" t="s">
        <v>332</v>
      </c>
      <c r="F811" s="103" t="s">
        <v>66</v>
      </c>
      <c r="G811" s="103">
        <v>400</v>
      </c>
      <c r="H811">
        <v>0.4</v>
      </c>
      <c r="L811" s="37">
        <f>IF(H811&gt;30,QUOTIENT(H811,30)*VLOOKUP(D811,'报价表-配送'!$B$54:$I$58,8,0),0)+IF(AND(MOD(H811,30)&gt;18,MOD(H811,30)&lt;=30),1,0)*VLOOKUP(D811,'报价表-配送'!$B$54:$I$58,8,0)+IF(AND(MOD(H811,30)&gt;8,MOD(H811,30)&lt;=18),1*VLOOKUP(D811,'报价表-配送'!$B$54:$I$58,7,0),0)+IF(AND(MOD(H811,30)&lt;=8,MOD(H811,30)&gt;2.5),1,0)*VLOOKUP(D811,'报价表-配送'!$B$54:$I$58,6,0)+IF(AND(MOD(H811,30)&lt;=2.5,MOD(H811,30)&gt;=1.5),1,0)*VLOOKUP(D811,'报价表-配送'!$B$54:$I$58,5,0)</f>
        <v>0</v>
      </c>
      <c r="M811" s="39">
        <f>IF(AND(MOD(H811,30)&lt;1.5,MOD(H811,30)&gt;=0.5),H811,0)*VLOOKUP(D811,'报价表-配送'!$B$54:$I$58,4,0)*1000+IF(AND(MOD(H811,30)&lt;0.5,MOD(H811,30)&gt;=0.02),H811,0)*VLOOKUP(D811,'报价表-配送'!$B$54:$I$58,3,0)*1000+IF(AND(MOD(H811,30)&lt;0.02),H811,0)*VLOOKUP(D811,'报价表-配送'!$B$54:$I$58,2,0)*1000</f>
        <v>0</v>
      </c>
      <c r="N811" s="38">
        <f t="shared" si="12"/>
        <v>0</v>
      </c>
    </row>
    <row r="812" spans="1:14" x14ac:dyDescent="0.25">
      <c r="A812" s="103" t="s">
        <v>105</v>
      </c>
      <c r="B812" s="106" t="s">
        <v>109</v>
      </c>
      <c r="C812" s="62">
        <f>VLOOKUP(B812,合并仓明细!$D$2:$F$74,3,0)</f>
        <v>63</v>
      </c>
      <c r="D812" s="103" t="s">
        <v>528</v>
      </c>
      <c r="E812" s="106" t="s">
        <v>332</v>
      </c>
      <c r="F812" s="103" t="s">
        <v>66</v>
      </c>
      <c r="G812" s="103">
        <v>2</v>
      </c>
      <c r="H812">
        <v>2E-3</v>
      </c>
      <c r="L812" s="37">
        <f>IF(H812&gt;30,QUOTIENT(H812,30)*VLOOKUP(D812,'报价表-配送'!$B$54:$I$58,8,0),0)+IF(AND(MOD(H812,30)&gt;18,MOD(H812,30)&lt;=30),1,0)*VLOOKUP(D812,'报价表-配送'!$B$54:$I$58,8,0)+IF(AND(MOD(H812,30)&gt;8,MOD(H812,30)&lt;=18),1*VLOOKUP(D812,'报价表-配送'!$B$54:$I$58,7,0),0)+IF(AND(MOD(H812,30)&lt;=8,MOD(H812,30)&gt;2.5),1,0)*VLOOKUP(D812,'报价表-配送'!$B$54:$I$58,6,0)+IF(AND(MOD(H812,30)&lt;=2.5,MOD(H812,30)&gt;=1.5),1,0)*VLOOKUP(D812,'报价表-配送'!$B$54:$I$58,5,0)</f>
        <v>0</v>
      </c>
      <c r="M812" s="39">
        <f>IF(AND(MOD(H812,30)&lt;1.5,MOD(H812,30)&gt;=0.5),H812,0)*VLOOKUP(D812,'报价表-配送'!$B$54:$I$58,4,0)*1000+IF(AND(MOD(H812,30)&lt;0.5,MOD(H812,30)&gt;=0.02),H812,0)*VLOOKUP(D812,'报价表-配送'!$B$54:$I$58,3,0)*1000+IF(AND(MOD(H812,30)&lt;0.02),H812,0)*VLOOKUP(D812,'报价表-配送'!$B$54:$I$58,2,0)*1000</f>
        <v>0</v>
      </c>
      <c r="N812" s="38">
        <f t="shared" si="12"/>
        <v>0</v>
      </c>
    </row>
    <row r="813" spans="1:14" x14ac:dyDescent="0.25">
      <c r="A813" t="s">
        <v>105</v>
      </c>
      <c r="B813" s="43" t="s">
        <v>110</v>
      </c>
      <c r="C813" s="62">
        <f>VLOOKUP(B813,合并仓明细!$D$2:$F$74,3,0)</f>
        <v>220</v>
      </c>
      <c r="D813" s="44" t="s">
        <v>414</v>
      </c>
      <c r="E813" s="43" t="s">
        <v>307</v>
      </c>
      <c r="F813" t="s">
        <v>68</v>
      </c>
      <c r="G813">
        <v>2562.12</v>
      </c>
      <c r="H813">
        <v>4.0720199965399999</v>
      </c>
      <c r="I813" s="46">
        <f>ROUNDUP(H813/30,0)*VLOOKUP(D813,'报价表-配送'!$B$54:$I$58,8,0)</f>
        <v>0</v>
      </c>
      <c r="L813" s="37"/>
      <c r="M813" s="39"/>
      <c r="N813" s="38">
        <f t="shared" si="12"/>
        <v>0</v>
      </c>
    </row>
    <row r="814" spans="1:14" x14ac:dyDescent="0.25">
      <c r="A814" t="s">
        <v>105</v>
      </c>
      <c r="B814" s="43" t="s">
        <v>110</v>
      </c>
      <c r="C814" s="62">
        <f>VLOOKUP(B814,合并仓明细!$D$2:$F$74,3,0)</f>
        <v>220</v>
      </c>
      <c r="D814" s="44" t="s">
        <v>414</v>
      </c>
      <c r="E814" s="43" t="s">
        <v>307</v>
      </c>
      <c r="F814" t="s">
        <v>66</v>
      </c>
      <c r="G814">
        <v>1509.8999965399996</v>
      </c>
      <c r="H814"/>
      <c r="I814" s="38"/>
      <c r="J814" s="38"/>
      <c r="K814" s="38"/>
      <c r="L814" s="37"/>
      <c r="M814" s="37"/>
      <c r="N814" s="38">
        <f t="shared" si="12"/>
        <v>0</v>
      </c>
    </row>
    <row r="815" spans="1:14" x14ac:dyDescent="0.25">
      <c r="A815" t="s">
        <v>105</v>
      </c>
      <c r="B815" s="43" t="s">
        <v>110</v>
      </c>
      <c r="C815" s="62">
        <f>VLOOKUP(B815,合并仓明细!$D$2:$F$74,3,0)</f>
        <v>220</v>
      </c>
      <c r="D815" s="44" t="s">
        <v>414</v>
      </c>
      <c r="E815" s="43" t="s">
        <v>333</v>
      </c>
      <c r="F815" t="s">
        <v>66</v>
      </c>
      <c r="G815">
        <v>70.741666600000002</v>
      </c>
      <c r="H815">
        <v>7.0741666600000003E-2</v>
      </c>
      <c r="L815" s="37">
        <f>IF(H815&gt;30,QUOTIENT(H815,30)*VLOOKUP(D815,'报价表-配送'!$B$54:$I$58,8,0),0)+IF(AND(MOD(H815,30)&gt;18,MOD(H815,30)&lt;=30),1,0)*VLOOKUP(D815,'报价表-配送'!$B$54:$I$58,8,0)+IF(AND(MOD(H815,30)&gt;8,MOD(H815,30)&lt;=18),1*VLOOKUP(D815,'报价表-配送'!$B$54:$I$58,7,0),0)+IF(AND(MOD(H815,30)&lt;=8,MOD(H815,30)&gt;2.5),1,0)*VLOOKUP(D815,'报价表-配送'!$B$54:$I$58,6,0)+IF(AND(MOD(H815,30)&lt;=2.5,MOD(H815,30)&gt;=1.5),1,0)*VLOOKUP(D815,'报价表-配送'!$B$54:$I$58,5,0)</f>
        <v>0</v>
      </c>
      <c r="M815" s="39">
        <f>IF(AND(MOD(H815,30)&lt;1.5,MOD(H815,30)&gt;=0.5),H815,0)*VLOOKUP(D815,'报价表-配送'!$B$54:$I$58,4,0)*1000+IF(AND(MOD(H815,30)&lt;0.5,MOD(H815,30)&gt;=0.02),H815,0)*VLOOKUP(D815,'报价表-配送'!$B$54:$I$58,3,0)*1000+IF(AND(MOD(H815,30)&lt;0.02),H815,0)*VLOOKUP(D815,'报价表-配送'!$B$54:$I$58,2,0)*1000</f>
        <v>0</v>
      </c>
      <c r="N815" s="38">
        <f t="shared" si="12"/>
        <v>0</v>
      </c>
    </row>
    <row r="816" spans="1:14" x14ac:dyDescent="0.25">
      <c r="A816" t="s">
        <v>105</v>
      </c>
      <c r="B816" s="43" t="s">
        <v>110</v>
      </c>
      <c r="C816" s="62">
        <f>VLOOKUP(B816,合并仓明细!$D$2:$F$74,3,0)</f>
        <v>220</v>
      </c>
      <c r="D816" s="44" t="s">
        <v>414</v>
      </c>
      <c r="E816" s="43" t="s">
        <v>271</v>
      </c>
      <c r="F816" t="s">
        <v>66</v>
      </c>
      <c r="G816">
        <v>65</v>
      </c>
      <c r="H816">
        <v>6.5000000000000002E-2</v>
      </c>
      <c r="L816" s="37">
        <f>IF(H816&gt;30,QUOTIENT(H816,30)*VLOOKUP(D816,'报价表-配送'!$B$54:$I$58,8,0),0)+IF(AND(MOD(H816,30)&gt;18,MOD(H816,30)&lt;=30),1,0)*VLOOKUP(D816,'报价表-配送'!$B$54:$I$58,8,0)+IF(AND(MOD(H816,30)&gt;8,MOD(H816,30)&lt;=18),1*VLOOKUP(D816,'报价表-配送'!$B$54:$I$58,7,0),0)+IF(AND(MOD(H816,30)&lt;=8,MOD(H816,30)&gt;2.5),1,0)*VLOOKUP(D816,'报价表-配送'!$B$54:$I$58,6,0)+IF(AND(MOD(H816,30)&lt;=2.5,MOD(H816,30)&gt;=1.5),1,0)*VLOOKUP(D816,'报价表-配送'!$B$54:$I$58,5,0)</f>
        <v>0</v>
      </c>
      <c r="M816" s="39">
        <f>IF(AND(MOD(H816,30)&lt;1.5,MOD(H816,30)&gt;=0.5),H816,0)*VLOOKUP(D816,'报价表-配送'!$B$54:$I$58,4,0)*1000+IF(AND(MOD(H816,30)&lt;0.5,MOD(H816,30)&gt;=0.02),H816,0)*VLOOKUP(D816,'报价表-配送'!$B$54:$I$58,3,0)*1000+IF(AND(MOD(H816,30)&lt;0.02),H816,0)*VLOOKUP(D816,'报价表-配送'!$B$54:$I$58,2,0)*1000</f>
        <v>0</v>
      </c>
      <c r="N816" s="38">
        <f t="shared" si="12"/>
        <v>0</v>
      </c>
    </row>
    <row r="817" spans="1:14" x14ac:dyDescent="0.25">
      <c r="A817" t="s">
        <v>105</v>
      </c>
      <c r="B817" s="43" t="s">
        <v>110</v>
      </c>
      <c r="C817" s="62">
        <f>VLOOKUP(B817,合并仓明细!$D$2:$F$74,3,0)</f>
        <v>220</v>
      </c>
      <c r="D817" s="44" t="s">
        <v>414</v>
      </c>
      <c r="E817" s="43" t="s">
        <v>351</v>
      </c>
      <c r="F817" t="s">
        <v>68</v>
      </c>
      <c r="G817">
        <v>1178.28</v>
      </c>
      <c r="H817">
        <v>3.4424841502999999</v>
      </c>
      <c r="I817" s="46">
        <f>ROUNDUP(H817/30,0)*VLOOKUP(D817,'报价表-配送'!$B$54:$I$58,8,0)</f>
        <v>0</v>
      </c>
      <c r="L817" s="37"/>
      <c r="M817" s="39"/>
      <c r="N817" s="38">
        <f t="shared" si="12"/>
        <v>0</v>
      </c>
    </row>
    <row r="818" spans="1:14" x14ac:dyDescent="0.25">
      <c r="A818" t="s">
        <v>105</v>
      </c>
      <c r="B818" s="43" t="s">
        <v>110</v>
      </c>
      <c r="C818" s="62">
        <f>VLOOKUP(B818,合并仓明细!$D$2:$F$74,3,0)</f>
        <v>220</v>
      </c>
      <c r="D818" s="44" t="s">
        <v>414</v>
      </c>
      <c r="E818" s="43" t="s">
        <v>351</v>
      </c>
      <c r="F818" t="s">
        <v>67</v>
      </c>
      <c r="G818">
        <v>1520.8561200000001</v>
      </c>
      <c r="H818"/>
      <c r="L818" s="37"/>
      <c r="M818" s="39"/>
      <c r="N818" s="38">
        <f t="shared" si="12"/>
        <v>0</v>
      </c>
    </row>
    <row r="819" spans="1:14" x14ac:dyDescent="0.25">
      <c r="A819" t="s">
        <v>105</v>
      </c>
      <c r="B819" s="43" t="s">
        <v>110</v>
      </c>
      <c r="C819" s="62">
        <f>VLOOKUP(B819,合并仓明细!$D$2:$F$74,3,0)</f>
        <v>220</v>
      </c>
      <c r="D819" s="44" t="s">
        <v>414</v>
      </c>
      <c r="E819" s="43" t="s">
        <v>351</v>
      </c>
      <c r="F819" t="s">
        <v>66</v>
      </c>
      <c r="G819">
        <v>743.34803029999989</v>
      </c>
      <c r="H819"/>
      <c r="I819" s="46"/>
      <c r="J819" s="37"/>
      <c r="K819" s="37"/>
      <c r="L819" s="37"/>
      <c r="M819" s="37"/>
      <c r="N819" s="38">
        <f t="shared" si="12"/>
        <v>0</v>
      </c>
    </row>
    <row r="820" spans="1:14" x14ac:dyDescent="0.25">
      <c r="A820" t="s">
        <v>105</v>
      </c>
      <c r="B820" s="43" t="s">
        <v>110</v>
      </c>
      <c r="C820" s="62">
        <f>VLOOKUP(B820,合并仓明细!$D$2:$F$74,3,0)</f>
        <v>220</v>
      </c>
      <c r="D820" s="44" t="s">
        <v>414</v>
      </c>
      <c r="E820" s="43" t="s">
        <v>310</v>
      </c>
      <c r="F820" t="s">
        <v>67</v>
      </c>
      <c r="G820">
        <v>934.00282800000014</v>
      </c>
      <c r="H820">
        <v>1.4012804946600002</v>
      </c>
      <c r="I820" s="38">
        <f>IF(H820&gt;30,QUOTIENT(H820,30)*VLOOKUP(D820,'报价表-配送'!$B$54:$I$58,8,0),0)+IF(AND(MOD(H820,30)&gt;18,MOD(H820,30)&lt;=30),1,0)*VLOOKUP(D820,'报价表-配送'!$B$54:$I$58,8,0)</f>
        <v>0</v>
      </c>
      <c r="J820" s="38">
        <f>IF(AND(MOD(H820,30)&gt;8,MOD(H820,30)&lt;=18),1*VLOOKUP(D820,'报价表-配送'!$B$54:$I$58,7,0),0)</f>
        <v>0</v>
      </c>
      <c r="K820" s="38">
        <f>IF(AND(MOD(H820,30)&lt;=8,MOD(H820,30)&gt;0),1,0)*VLOOKUP(D820,'报价表-配送'!$B$54:$I$58,6,0)</f>
        <v>0</v>
      </c>
      <c r="N820" s="38">
        <f t="shared" si="12"/>
        <v>0</v>
      </c>
    </row>
    <row r="821" spans="1:14" x14ac:dyDescent="0.25">
      <c r="A821" t="s">
        <v>105</v>
      </c>
      <c r="B821" s="43" t="s">
        <v>110</v>
      </c>
      <c r="C821" s="62">
        <f>VLOOKUP(B821,合并仓明细!$D$2:$F$74,3,0)</f>
        <v>220</v>
      </c>
      <c r="D821" s="44" t="s">
        <v>414</v>
      </c>
      <c r="E821" s="43" t="s">
        <v>310</v>
      </c>
      <c r="F821" t="s">
        <v>66</v>
      </c>
      <c r="G821">
        <v>467.27766666000002</v>
      </c>
      <c r="H821"/>
      <c r="I821" s="38"/>
      <c r="J821" s="38"/>
      <c r="K821" s="38"/>
      <c r="L821" s="37"/>
      <c r="M821" s="37"/>
      <c r="N821" s="38">
        <f t="shared" si="12"/>
        <v>0</v>
      </c>
    </row>
    <row r="822" spans="1:14" x14ac:dyDescent="0.25">
      <c r="A822" t="s">
        <v>105</v>
      </c>
      <c r="B822" s="43" t="s">
        <v>110</v>
      </c>
      <c r="C822" s="62">
        <f>VLOOKUP(B822,合并仓明细!$D$2:$F$74,3,0)</f>
        <v>220</v>
      </c>
      <c r="D822" s="44" t="s">
        <v>414</v>
      </c>
      <c r="E822" s="43" t="s">
        <v>352</v>
      </c>
      <c r="F822" t="s">
        <v>66</v>
      </c>
      <c r="G822">
        <v>146.67299999999997</v>
      </c>
      <c r="H822">
        <v>0.14667299999999997</v>
      </c>
      <c r="L822" s="37">
        <f>IF(H822&gt;30,QUOTIENT(H822,30)*VLOOKUP(D822,'报价表-配送'!$B$54:$I$58,8,0),0)+IF(AND(MOD(H822,30)&gt;18,MOD(H822,30)&lt;=30),1,0)*VLOOKUP(D822,'报价表-配送'!$B$54:$I$58,8,0)+IF(AND(MOD(H822,30)&gt;8,MOD(H822,30)&lt;=18),1*VLOOKUP(D822,'报价表-配送'!$B$54:$I$58,7,0),0)+IF(AND(MOD(H822,30)&lt;=8,MOD(H822,30)&gt;2.5),1,0)*VLOOKUP(D822,'报价表-配送'!$B$54:$I$58,6,0)+IF(AND(MOD(H822,30)&lt;=2.5,MOD(H822,30)&gt;=1.5),1,0)*VLOOKUP(D822,'报价表-配送'!$B$54:$I$58,5,0)</f>
        <v>0</v>
      </c>
      <c r="M822" s="39">
        <f>IF(AND(MOD(H822,30)&lt;1.5,MOD(H822,30)&gt;=0.5),H822,0)*VLOOKUP(D822,'报价表-配送'!$B$54:$I$58,4,0)*1000+IF(AND(MOD(H822,30)&lt;0.5,MOD(H822,30)&gt;=0.02),H822,0)*VLOOKUP(D822,'报价表-配送'!$B$54:$I$58,3,0)*1000+IF(AND(MOD(H822,30)&lt;0.02),H822,0)*VLOOKUP(D822,'报价表-配送'!$B$54:$I$58,2,0)*1000</f>
        <v>0</v>
      </c>
      <c r="N822" s="38">
        <f t="shared" si="12"/>
        <v>0</v>
      </c>
    </row>
    <row r="823" spans="1:14" x14ac:dyDescent="0.25">
      <c r="A823" t="s">
        <v>105</v>
      </c>
      <c r="B823" s="43" t="s">
        <v>110</v>
      </c>
      <c r="C823" s="62">
        <f>VLOOKUP(B823,合并仓明细!$D$2:$F$74,3,0)</f>
        <v>220</v>
      </c>
      <c r="D823" s="44" t="s">
        <v>414</v>
      </c>
      <c r="E823" s="43" t="s">
        <v>315</v>
      </c>
      <c r="F823" t="s">
        <v>67</v>
      </c>
      <c r="G823" s="103">
        <v>8501.9446000000007</v>
      </c>
      <c r="H823" s="103">
        <v>8.5266445999999991</v>
      </c>
      <c r="I823" s="38">
        <f>IF(H823&gt;30,QUOTIENT(H823,30)*VLOOKUP(D823,'报价表-配送'!$B$54:$I$58,8,0),0)+IF(AND(MOD(H823,30)&gt;18,MOD(H823,30)&lt;=30),1,0)*VLOOKUP(D823,'报价表-配送'!$B$54:$I$58,8,0)</f>
        <v>0</v>
      </c>
      <c r="J823" s="38">
        <f>IF(AND(MOD(H823,30)&gt;8,MOD(H823,30)&lt;=18),1*VLOOKUP(D823,'报价表-配送'!$B$54:$I$58,7,0),0)</f>
        <v>0</v>
      </c>
      <c r="K823" s="38">
        <f>IF(AND(MOD(H823,30)&lt;=8,MOD(H823,30)&gt;0),1,0)*VLOOKUP(D823,'报价表-配送'!$B$54:$I$58,6,0)</f>
        <v>0</v>
      </c>
      <c r="L823" s="37"/>
      <c r="M823" s="37"/>
      <c r="N823" s="38">
        <f t="shared" si="12"/>
        <v>0</v>
      </c>
    </row>
    <row r="824" spans="1:14" x14ac:dyDescent="0.25">
      <c r="A824" t="s">
        <v>105</v>
      </c>
      <c r="B824" s="43" t="s">
        <v>110</v>
      </c>
      <c r="C824" s="62">
        <f>VLOOKUP(B824,合并仓明细!$D$2:$F$74,3,0)</f>
        <v>220</v>
      </c>
      <c r="D824" s="44" t="s">
        <v>414</v>
      </c>
      <c r="E824" s="43" t="s">
        <v>315</v>
      </c>
      <c r="F824" t="s">
        <v>66</v>
      </c>
      <c r="G824">
        <v>24.7</v>
      </c>
      <c r="H824"/>
      <c r="N824" s="38">
        <f t="shared" si="12"/>
        <v>0</v>
      </c>
    </row>
    <row r="825" spans="1:14" x14ac:dyDescent="0.25">
      <c r="A825" t="s">
        <v>105</v>
      </c>
      <c r="B825" s="43" t="s">
        <v>110</v>
      </c>
      <c r="C825" s="62">
        <f>VLOOKUP(B825,合并仓明细!$D$2:$F$74,3,0)</f>
        <v>220</v>
      </c>
      <c r="D825" s="44" t="s">
        <v>414</v>
      </c>
      <c r="E825" s="43" t="s">
        <v>292</v>
      </c>
      <c r="F825" t="s">
        <v>66</v>
      </c>
      <c r="G825">
        <v>3.8</v>
      </c>
      <c r="H825">
        <v>3.8E-3</v>
      </c>
      <c r="L825" s="37">
        <f>IF(H825&gt;30,QUOTIENT(H825,30)*VLOOKUP(D825,'报价表-配送'!$B$54:$I$58,8,0),0)+IF(AND(MOD(H825,30)&gt;18,MOD(H825,30)&lt;=30),1,0)*VLOOKUP(D825,'报价表-配送'!$B$54:$I$58,8,0)+IF(AND(MOD(H825,30)&gt;8,MOD(H825,30)&lt;=18),1*VLOOKUP(D825,'报价表-配送'!$B$54:$I$58,7,0),0)+IF(AND(MOD(H825,30)&lt;=8,MOD(H825,30)&gt;2.5),1,0)*VLOOKUP(D825,'报价表-配送'!$B$54:$I$58,6,0)+IF(AND(MOD(H825,30)&lt;=2.5,MOD(H825,30)&gt;=1.5),1,0)*VLOOKUP(D825,'报价表-配送'!$B$54:$I$58,5,0)</f>
        <v>0</v>
      </c>
      <c r="M825" s="39">
        <f>IF(AND(MOD(H825,30)&lt;1.5,MOD(H825,30)&gt;=0.5),H825,0)*VLOOKUP(D825,'报价表-配送'!$B$54:$I$58,4,0)*1000+IF(AND(MOD(H825,30)&lt;0.5,MOD(H825,30)&gt;=0.02),H825,0)*VLOOKUP(D825,'报价表-配送'!$B$54:$I$58,3,0)*1000+IF(AND(MOD(H825,30)&lt;0.02),H825,0)*VLOOKUP(D825,'报价表-配送'!$B$54:$I$58,2,0)*1000</f>
        <v>0</v>
      </c>
      <c r="N825" s="38">
        <f t="shared" si="12"/>
        <v>0</v>
      </c>
    </row>
    <row r="826" spans="1:14" x14ac:dyDescent="0.25">
      <c r="A826" t="s">
        <v>105</v>
      </c>
      <c r="B826" s="43" t="s">
        <v>110</v>
      </c>
      <c r="C826" s="62">
        <f>VLOOKUP(B826,合并仓明细!$D$2:$F$74,3,0)</f>
        <v>220</v>
      </c>
      <c r="D826" s="44" t="s">
        <v>414</v>
      </c>
      <c r="E826" s="43" t="s">
        <v>353</v>
      </c>
      <c r="F826" t="s">
        <v>66</v>
      </c>
      <c r="G826">
        <v>121.53127211</v>
      </c>
      <c r="H826">
        <v>0.12153127211</v>
      </c>
      <c r="L826" s="37">
        <f>IF(H826&gt;30,QUOTIENT(H826,30)*VLOOKUP(D826,'报价表-配送'!$B$54:$I$58,8,0),0)+IF(AND(MOD(H826,30)&gt;18,MOD(H826,30)&lt;=30),1,0)*VLOOKUP(D826,'报价表-配送'!$B$54:$I$58,8,0)+IF(AND(MOD(H826,30)&gt;8,MOD(H826,30)&lt;=18),1*VLOOKUP(D826,'报价表-配送'!$B$54:$I$58,7,0),0)+IF(AND(MOD(H826,30)&lt;=8,MOD(H826,30)&gt;2.5),1,0)*VLOOKUP(D826,'报价表-配送'!$B$54:$I$58,6,0)+IF(AND(MOD(H826,30)&lt;=2.5,MOD(H826,30)&gt;=1.5),1,0)*VLOOKUP(D826,'报价表-配送'!$B$54:$I$58,5,0)</f>
        <v>0</v>
      </c>
      <c r="M826" s="39">
        <f>IF(AND(MOD(H826,30)&lt;1.5,MOD(H826,30)&gt;=0.5),H826,0)*VLOOKUP(D826,'报价表-配送'!$B$54:$I$58,4,0)*1000+IF(AND(MOD(H826,30)&lt;0.5,MOD(H826,30)&gt;=0.02),H826,0)*VLOOKUP(D826,'报价表-配送'!$B$54:$I$58,3,0)*1000+IF(AND(MOD(H826,30)&lt;0.02),H826,0)*VLOOKUP(D826,'报价表-配送'!$B$54:$I$58,2,0)*1000</f>
        <v>0</v>
      </c>
      <c r="N826" s="38">
        <f t="shared" si="12"/>
        <v>0</v>
      </c>
    </row>
    <row r="827" spans="1:14" x14ac:dyDescent="0.25">
      <c r="A827" t="s">
        <v>105</v>
      </c>
      <c r="B827" s="43" t="s">
        <v>110</v>
      </c>
      <c r="C827" s="62">
        <f>VLOOKUP(B827,合并仓明细!$D$2:$F$74,3,0)</f>
        <v>220</v>
      </c>
      <c r="D827" s="44" t="s">
        <v>414</v>
      </c>
      <c r="E827" s="43" t="s">
        <v>327</v>
      </c>
      <c r="F827" t="s">
        <v>66</v>
      </c>
      <c r="G827">
        <v>67.574999999999989</v>
      </c>
      <c r="H827">
        <v>6.7574999999999982E-2</v>
      </c>
      <c r="I827" s="46"/>
      <c r="J827" s="37"/>
      <c r="K827" s="37"/>
      <c r="L827" s="37">
        <f>IF(H827&gt;30,QUOTIENT(H827,30)*VLOOKUP(D827,'报价表-配送'!$B$54:$I$58,8,0),0)+IF(AND(MOD(H827,30)&gt;18,MOD(H827,30)&lt;=30),1,0)*VLOOKUP(D827,'报价表-配送'!$B$54:$I$58,8,0)+IF(AND(MOD(H827,30)&gt;8,MOD(H827,30)&lt;=18),1*VLOOKUP(D827,'报价表-配送'!$B$54:$I$58,7,0),0)+IF(AND(MOD(H827,30)&lt;=8,MOD(H827,30)&gt;2.5),1,0)*VLOOKUP(D827,'报价表-配送'!$B$54:$I$58,6,0)+IF(AND(MOD(H827,30)&lt;=2.5,MOD(H827,30)&gt;=1.5),1,0)*VLOOKUP(D827,'报价表-配送'!$B$54:$I$58,5,0)</f>
        <v>0</v>
      </c>
      <c r="M827" s="39">
        <f>IF(AND(MOD(H827,30)&lt;1.5,MOD(H827,30)&gt;=0.5),H827,0)*VLOOKUP(D827,'报价表-配送'!$B$54:$I$58,4,0)*1000+IF(AND(MOD(H827,30)&lt;0.5,MOD(H827,30)&gt;=0.02),H827,0)*VLOOKUP(D827,'报价表-配送'!$B$54:$I$58,3,0)*1000+IF(AND(MOD(H827,30)&lt;0.02),H827,0)*VLOOKUP(D827,'报价表-配送'!$B$54:$I$58,2,0)*1000</f>
        <v>0</v>
      </c>
      <c r="N827" s="38">
        <f t="shared" si="12"/>
        <v>0</v>
      </c>
    </row>
    <row r="828" spans="1:14" x14ac:dyDescent="0.25">
      <c r="A828" t="s">
        <v>105</v>
      </c>
      <c r="B828" s="43" t="s">
        <v>110</v>
      </c>
      <c r="C828" s="62">
        <f>VLOOKUP(B828,合并仓明细!$D$2:$F$74,3,0)</f>
        <v>220</v>
      </c>
      <c r="D828" s="44" t="s">
        <v>414</v>
      </c>
      <c r="E828" s="43" t="s">
        <v>252</v>
      </c>
      <c r="F828" t="s">
        <v>66</v>
      </c>
      <c r="G828">
        <v>26.882142870000003</v>
      </c>
      <c r="H828">
        <v>2.6882142870000004E-2</v>
      </c>
      <c r="L828" s="37">
        <f>IF(H828&gt;30,QUOTIENT(H828,30)*VLOOKUP(D828,'报价表-配送'!$B$54:$I$58,8,0),0)+IF(AND(MOD(H828,30)&gt;18,MOD(H828,30)&lt;=30),1,0)*VLOOKUP(D828,'报价表-配送'!$B$54:$I$58,8,0)+IF(AND(MOD(H828,30)&gt;8,MOD(H828,30)&lt;=18),1*VLOOKUP(D828,'报价表-配送'!$B$54:$I$58,7,0),0)+IF(AND(MOD(H828,30)&lt;=8,MOD(H828,30)&gt;2.5),1,0)*VLOOKUP(D828,'报价表-配送'!$B$54:$I$58,6,0)+IF(AND(MOD(H828,30)&lt;=2.5,MOD(H828,30)&gt;=1.5),1,0)*VLOOKUP(D828,'报价表-配送'!$B$54:$I$58,5,0)</f>
        <v>0</v>
      </c>
      <c r="M828" s="39">
        <f>IF(AND(MOD(H828,30)&lt;1.5,MOD(H828,30)&gt;=0.5),H828,0)*VLOOKUP(D828,'报价表-配送'!$B$54:$I$58,4,0)*1000+IF(AND(MOD(H828,30)&lt;0.5,MOD(H828,30)&gt;=0.02),H828,0)*VLOOKUP(D828,'报价表-配送'!$B$54:$I$58,3,0)*1000+IF(AND(MOD(H828,30)&lt;0.02),H828,0)*VLOOKUP(D828,'报价表-配送'!$B$54:$I$58,2,0)*1000</f>
        <v>0</v>
      </c>
      <c r="N828" s="38">
        <f t="shared" si="12"/>
        <v>0</v>
      </c>
    </row>
    <row r="829" spans="1:14" x14ac:dyDescent="0.25">
      <c r="A829" t="s">
        <v>105</v>
      </c>
      <c r="B829" s="43" t="s">
        <v>110</v>
      </c>
      <c r="C829" s="62">
        <f>VLOOKUP(B829,合并仓明细!$D$2:$F$74,3,0)</f>
        <v>220</v>
      </c>
      <c r="D829" s="44" t="s">
        <v>414</v>
      </c>
      <c r="E829" s="43" t="s">
        <v>305</v>
      </c>
      <c r="F829" t="s">
        <v>66</v>
      </c>
      <c r="G829">
        <v>4.5</v>
      </c>
      <c r="H829">
        <v>4.4999999999999997E-3</v>
      </c>
      <c r="I829" s="38"/>
      <c r="J829" s="38"/>
      <c r="K829" s="38"/>
      <c r="L829" s="37">
        <f>IF(H829&gt;30,QUOTIENT(H829,30)*VLOOKUP(D829,'报价表-配送'!$B$54:$I$58,8,0),0)+IF(AND(MOD(H829,30)&gt;18,MOD(H829,30)&lt;=30),1,0)*VLOOKUP(D829,'报价表-配送'!$B$54:$I$58,8,0)+IF(AND(MOD(H829,30)&gt;8,MOD(H829,30)&lt;=18),1*VLOOKUP(D829,'报价表-配送'!$B$54:$I$58,7,0),0)+IF(AND(MOD(H829,30)&lt;=8,MOD(H829,30)&gt;2.5),1,0)*VLOOKUP(D829,'报价表-配送'!$B$54:$I$58,6,0)+IF(AND(MOD(H829,30)&lt;=2.5,MOD(H829,30)&gt;=1.5),1,0)*VLOOKUP(D829,'报价表-配送'!$B$54:$I$58,5,0)</f>
        <v>0</v>
      </c>
      <c r="M829" s="39">
        <f>IF(AND(MOD(H829,30)&lt;1.5,MOD(H829,30)&gt;=0.5),H829,0)*VLOOKUP(D829,'报价表-配送'!$B$54:$I$58,4,0)*1000+IF(AND(MOD(H829,30)&lt;0.5,MOD(H829,30)&gt;=0.02),H829,0)*VLOOKUP(D829,'报价表-配送'!$B$54:$I$58,3,0)*1000+IF(AND(MOD(H829,30)&lt;0.02),H829,0)*VLOOKUP(D829,'报价表-配送'!$B$54:$I$58,2,0)*1000</f>
        <v>0</v>
      </c>
      <c r="N829" s="38">
        <f t="shared" si="12"/>
        <v>0</v>
      </c>
    </row>
    <row r="830" spans="1:14" x14ac:dyDescent="0.25">
      <c r="A830" t="s">
        <v>111</v>
      </c>
      <c r="B830" s="43" t="s">
        <v>112</v>
      </c>
      <c r="C830" s="62">
        <f>VLOOKUP(B830,合并仓明细!$D$2:$F$74,3,0)</f>
        <v>369</v>
      </c>
      <c r="D830" t="s">
        <v>410</v>
      </c>
      <c r="E830" s="43" t="s">
        <v>268</v>
      </c>
      <c r="F830" t="s">
        <v>68</v>
      </c>
      <c r="G830">
        <v>17.591999999999999</v>
      </c>
      <c r="H830">
        <v>0.87207926666000002</v>
      </c>
      <c r="I830" s="46">
        <f>ROUNDUP(H830/30,0)*VLOOKUP(D830,'报价表-配送'!$B$84:$I$88,8,0)</f>
        <v>0</v>
      </c>
      <c r="N830" s="38">
        <f t="shared" si="12"/>
        <v>0</v>
      </c>
    </row>
    <row r="831" spans="1:14" x14ac:dyDescent="0.25">
      <c r="A831" t="s">
        <v>111</v>
      </c>
      <c r="B831" s="43" t="s">
        <v>112</v>
      </c>
      <c r="C831" s="62">
        <f>VLOOKUP(B831,合并仓明细!$D$2:$F$74,3,0)</f>
        <v>369</v>
      </c>
      <c r="D831" t="s">
        <v>410</v>
      </c>
      <c r="E831" s="43" t="s">
        <v>268</v>
      </c>
      <c r="F831" t="s">
        <v>67</v>
      </c>
      <c r="G831">
        <v>250.73999999999998</v>
      </c>
      <c r="H831"/>
      <c r="I831" s="38"/>
      <c r="J831" s="38"/>
      <c r="K831" s="38"/>
      <c r="L831" s="37"/>
      <c r="M831" s="37"/>
      <c r="N831" s="38">
        <f t="shared" si="12"/>
        <v>0</v>
      </c>
    </row>
    <row r="832" spans="1:14" x14ac:dyDescent="0.25">
      <c r="A832" t="s">
        <v>111</v>
      </c>
      <c r="B832" s="43" t="s">
        <v>112</v>
      </c>
      <c r="C832" s="62">
        <f>VLOOKUP(B832,合并仓明细!$D$2:$F$74,3,0)</f>
        <v>369</v>
      </c>
      <c r="D832" t="s">
        <v>410</v>
      </c>
      <c r="E832" s="43" t="s">
        <v>268</v>
      </c>
      <c r="F832" t="s">
        <v>66</v>
      </c>
      <c r="G832">
        <v>603.74726666000004</v>
      </c>
      <c r="H832"/>
      <c r="N832" s="38">
        <f t="shared" si="12"/>
        <v>0</v>
      </c>
    </row>
    <row r="833" spans="1:14" x14ac:dyDescent="0.25">
      <c r="A833" t="s">
        <v>111</v>
      </c>
      <c r="B833" s="43" t="s">
        <v>112</v>
      </c>
      <c r="C833" s="62">
        <f>VLOOKUP(B833,合并仓明细!$D$2:$F$74,3,0)</f>
        <v>369</v>
      </c>
      <c r="D833" t="s">
        <v>410</v>
      </c>
      <c r="E833" s="43" t="s">
        <v>354</v>
      </c>
      <c r="F833" t="s">
        <v>66</v>
      </c>
      <c r="G833">
        <v>30</v>
      </c>
      <c r="H833">
        <v>0.03</v>
      </c>
      <c r="I833" s="46"/>
      <c r="J833" s="37"/>
      <c r="K833" s="37"/>
      <c r="L833" s="37">
        <f>IF(H833&gt;30,QUOTIENT(H833,30)*VLOOKUP(D833,'报价表-配送'!$B$84:$I$88,8,0),0)+IF(AND(MOD(H833,30)&gt;18,MOD(H833,30)&lt;=30),1,0)*VLOOKUP(D833,'报价表-配送'!$B$84:$I$88,8,0)+IF(AND(MOD(H833,30)&gt;8,MOD(H833,30)&lt;=18),1*VLOOKUP(D833,'报价表-配送'!$B$84:$I$88,7,0),0)+IF(AND(MOD(H833,30)&lt;=8,MOD(H833,30)&gt;2.5),1,0)*VLOOKUP(D833,'报价表-配送'!$B$84:$I$88,6,0)+IF(AND(MOD(H833,30)&lt;=2.5,MOD(H833,30)&gt;=1.5),1,0)*VLOOKUP(D833,'报价表-配送'!$B$84:$I$88,5,0)</f>
        <v>0</v>
      </c>
      <c r="M833" s="39">
        <f>IF(AND(MOD(H833,30)&lt;1.5,MOD(H833,30)&gt;=0.5),H833,0)*VLOOKUP(D833,'报价表-配送'!$B$84:$I$88,4,0)*1000+IF(AND(MOD(H833,30)&lt;0.5,MOD(H833,30)&gt;=0.02),H833,0)*VLOOKUP(D833,'报价表-配送'!$B$84:$I$88,3,0)*1000+IF(AND(MOD(H833,30)&lt;0.02),H833,0)*VLOOKUP(D833,'报价表-配送'!$B$84:$I$88,2,0)*1000</f>
        <v>0</v>
      </c>
      <c r="N833" s="38">
        <f t="shared" si="12"/>
        <v>0</v>
      </c>
    </row>
    <row r="834" spans="1:14" x14ac:dyDescent="0.25">
      <c r="A834" t="s">
        <v>111</v>
      </c>
      <c r="B834" s="43" t="s">
        <v>112</v>
      </c>
      <c r="C834" s="62">
        <f>VLOOKUP(B834,合并仓明细!$D$2:$F$74,3,0)</f>
        <v>369</v>
      </c>
      <c r="D834" t="s">
        <v>410</v>
      </c>
      <c r="E834" s="43" t="s">
        <v>273</v>
      </c>
      <c r="F834" t="s">
        <v>67</v>
      </c>
      <c r="G834">
        <v>8773.347600000001</v>
      </c>
      <c r="H834">
        <v>8.9275176000000016</v>
      </c>
      <c r="I834" s="38">
        <f>IF(H834&gt;30,QUOTIENT(H834,30)*VLOOKUP(D834,'报价表-配送'!$B$84:$I$88,8,0),0)+IF(AND(MOD(H834,30)&gt;18,MOD(H834,30)&lt;=30),1,0)*VLOOKUP(D834,'报价表-配送'!$B$84:$I$88,8,0)</f>
        <v>0</v>
      </c>
      <c r="J834" s="38">
        <f>IF(AND(MOD(H834,30)&gt;8,MOD(H834,30)&lt;=18),1*VLOOKUP(D834,'报价表-配送'!$B$84:$I$88,7,0),0)</f>
        <v>0</v>
      </c>
      <c r="K834" s="38">
        <f>IF(AND(MOD(H834,30)&lt;=8,MOD(H834,30)&gt;0),1,0)*VLOOKUP(D834,'报价表-配送'!$B$84:$I$88,6,0)</f>
        <v>0</v>
      </c>
      <c r="N834" s="38">
        <f t="shared" si="12"/>
        <v>0</v>
      </c>
    </row>
    <row r="835" spans="1:14" x14ac:dyDescent="0.25">
      <c r="A835" t="s">
        <v>111</v>
      </c>
      <c r="B835" s="43" t="s">
        <v>112</v>
      </c>
      <c r="C835" s="62">
        <f>VLOOKUP(B835,合并仓明细!$D$2:$F$74,3,0)</f>
        <v>369</v>
      </c>
      <c r="D835" t="s">
        <v>410</v>
      </c>
      <c r="E835" s="43" t="s">
        <v>273</v>
      </c>
      <c r="F835" t="s">
        <v>66</v>
      </c>
      <c r="G835">
        <v>154.17000000000002</v>
      </c>
      <c r="H835"/>
      <c r="N835" s="38">
        <f t="shared" si="12"/>
        <v>0</v>
      </c>
    </row>
    <row r="836" spans="1:14" x14ac:dyDescent="0.25">
      <c r="A836" t="s">
        <v>111</v>
      </c>
      <c r="B836" s="43" t="s">
        <v>113</v>
      </c>
      <c r="C836" s="62">
        <f>VLOOKUP(B836,合并仓明细!$D$2:$F$74,3,0)</f>
        <v>335</v>
      </c>
      <c r="D836" t="s">
        <v>410</v>
      </c>
      <c r="E836" s="43" t="s">
        <v>265</v>
      </c>
      <c r="F836" t="s">
        <v>66</v>
      </c>
      <c r="G836">
        <v>1239.799</v>
      </c>
      <c r="H836">
        <v>1.2397989999999999</v>
      </c>
      <c r="I836" s="38"/>
      <c r="J836" s="38"/>
      <c r="K836" s="38"/>
      <c r="L836" s="37">
        <f>IF(H836&gt;30,QUOTIENT(H836,30)*VLOOKUP(D836,'报价表-配送'!$B$84:$I$88,8,0),0)+IF(AND(MOD(H836,30)&gt;18,MOD(H836,30)&lt;=30),1,0)*VLOOKUP(D836,'报价表-配送'!$B$84:$I$88,8,0)+IF(AND(MOD(H836,30)&gt;8,MOD(H836,30)&lt;=18),1*VLOOKUP(D836,'报价表-配送'!$B$84:$I$88,7,0),0)+IF(AND(MOD(H836,30)&lt;=8,MOD(H836,30)&gt;2.5),1,0)*VLOOKUP(D836,'报价表-配送'!$B$84:$I$88,6,0)+IF(AND(MOD(H836,30)&lt;=2.5,MOD(H836,30)&gt;=1.5),1,0)*VLOOKUP(D836,'报价表-配送'!$B$84:$I$88,5,0)</f>
        <v>0</v>
      </c>
      <c r="M836" s="39">
        <f>IF(AND(MOD(H836,30)&lt;1.5,MOD(H836,30)&gt;=0.5),H836,0)*VLOOKUP(D836,'报价表-配送'!$B$84:$I$88,4,0)*1000+IF(AND(MOD(H836,30)&lt;0.5,MOD(H836,30)&gt;=0.02),H836,0)*VLOOKUP(D836,'报价表-配送'!$B$84:$I$88,3,0)*1000+IF(AND(MOD(H836,30)&lt;0.02),H836,0)*VLOOKUP(D836,'报价表-配送'!$B$84:$I$88,2,0)*1000</f>
        <v>0</v>
      </c>
      <c r="N836" s="38">
        <f t="shared" si="12"/>
        <v>0</v>
      </c>
    </row>
    <row r="837" spans="1:14" x14ac:dyDescent="0.25">
      <c r="A837" t="s">
        <v>111</v>
      </c>
      <c r="B837" s="43" t="s">
        <v>113</v>
      </c>
      <c r="C837" s="62">
        <f>VLOOKUP(B837,合并仓明细!$D$2:$F$74,3,0)</f>
        <v>335</v>
      </c>
      <c r="D837" t="s">
        <v>410</v>
      </c>
      <c r="E837" s="43" t="s">
        <v>266</v>
      </c>
      <c r="F837" t="s">
        <v>66</v>
      </c>
      <c r="G837">
        <v>1515</v>
      </c>
      <c r="H837">
        <v>1.5149999999999999</v>
      </c>
      <c r="L837" s="37">
        <f>IF(H837&gt;30,QUOTIENT(H837,30)*VLOOKUP(D837,'报价表-配送'!$B$84:$I$88,8,0),0)+IF(AND(MOD(H837,30)&gt;18,MOD(H837,30)&lt;=30),1,0)*VLOOKUP(D837,'报价表-配送'!$B$84:$I$88,8,0)+IF(AND(MOD(H837,30)&gt;8,MOD(H837,30)&lt;=18),1*VLOOKUP(D837,'报价表-配送'!$B$84:$I$88,7,0),0)+IF(AND(MOD(H837,30)&lt;=8,MOD(H837,30)&gt;2.5),1,0)*VLOOKUP(D837,'报价表-配送'!$B$84:$I$88,6,0)+IF(AND(MOD(H837,30)&lt;=2.5,MOD(H837,30)&gt;=1.5),1,0)*VLOOKUP(D837,'报价表-配送'!$B$84:$I$88,5,0)</f>
        <v>0</v>
      </c>
      <c r="M837" s="39">
        <f>IF(AND(MOD(H837,30)&lt;1.5,MOD(H837,30)&gt;=0.5),H837,0)*VLOOKUP(D837,'报价表-配送'!$B$84:$I$88,4,0)*1000+IF(AND(MOD(H837,30)&lt;0.5,MOD(H837,30)&gt;=0.02),H837,0)*VLOOKUP(D837,'报价表-配送'!$B$84:$I$88,3,0)*1000+IF(AND(MOD(H837,30)&lt;0.02),H837,0)*VLOOKUP(D837,'报价表-配送'!$B$84:$I$88,2,0)*1000</f>
        <v>0</v>
      </c>
      <c r="N837" s="38">
        <f t="shared" si="12"/>
        <v>0</v>
      </c>
    </row>
    <row r="838" spans="1:14" x14ac:dyDescent="0.25">
      <c r="A838" t="s">
        <v>111</v>
      </c>
      <c r="B838" s="43" t="s">
        <v>113</v>
      </c>
      <c r="C838" s="62">
        <f>VLOOKUP(B838,合并仓明细!$D$2:$F$74,3,0)</f>
        <v>335</v>
      </c>
      <c r="D838" t="s">
        <v>410</v>
      </c>
      <c r="E838" s="43" t="s">
        <v>311</v>
      </c>
      <c r="F838" t="s">
        <v>66</v>
      </c>
      <c r="G838">
        <v>6.9</v>
      </c>
      <c r="H838">
        <v>6.9000000000000008E-3</v>
      </c>
      <c r="L838" s="37">
        <f>IF(H838&gt;30,QUOTIENT(H838,30)*VLOOKUP(D838,'报价表-配送'!$B$84:$I$88,8,0),0)+IF(AND(MOD(H838,30)&gt;18,MOD(H838,30)&lt;=30),1,0)*VLOOKUP(D838,'报价表-配送'!$B$84:$I$88,8,0)+IF(AND(MOD(H838,30)&gt;8,MOD(H838,30)&lt;=18),1*VLOOKUP(D838,'报价表-配送'!$B$84:$I$88,7,0),0)+IF(AND(MOD(H838,30)&lt;=8,MOD(H838,30)&gt;2.5),1,0)*VLOOKUP(D838,'报价表-配送'!$B$84:$I$88,6,0)+IF(AND(MOD(H838,30)&lt;=2.5,MOD(H838,30)&gt;=1.5),1,0)*VLOOKUP(D838,'报价表-配送'!$B$84:$I$88,5,0)</f>
        <v>0</v>
      </c>
      <c r="M838" s="39">
        <f>IF(AND(MOD(H838,30)&lt;1.5,MOD(H838,30)&gt;=0.5),H838,0)*VLOOKUP(D838,'报价表-配送'!$B$84:$I$88,4,0)*1000+IF(AND(MOD(H838,30)&lt;0.5,MOD(H838,30)&gt;=0.02),H838,0)*VLOOKUP(D838,'报价表-配送'!$B$84:$I$88,3,0)*1000+IF(AND(MOD(H838,30)&lt;0.02),H838,0)*VLOOKUP(D838,'报价表-配送'!$B$84:$I$88,2,0)*1000</f>
        <v>0</v>
      </c>
      <c r="N838" s="38">
        <f t="shared" si="12"/>
        <v>0</v>
      </c>
    </row>
    <row r="839" spans="1:14" x14ac:dyDescent="0.25">
      <c r="A839" t="s">
        <v>111</v>
      </c>
      <c r="B839" s="43" t="s">
        <v>113</v>
      </c>
      <c r="C839" s="62">
        <f>VLOOKUP(B839,合并仓明细!$D$2:$F$74,3,0)</f>
        <v>335</v>
      </c>
      <c r="D839" t="s">
        <v>410</v>
      </c>
      <c r="E839" s="43" t="s">
        <v>347</v>
      </c>
      <c r="F839" t="s">
        <v>67</v>
      </c>
      <c r="G839">
        <v>5414.5653119999997</v>
      </c>
      <c r="H839">
        <v>5.6285469779099992</v>
      </c>
      <c r="I839" s="38">
        <f>IF(H839&gt;30,QUOTIENT(H839,30)*VLOOKUP(D839,'报价表-配送'!$B$84:$I$88,8,0),0)+IF(AND(MOD(H839,30)&gt;18,MOD(H839,30)&lt;=30),1,0)*VLOOKUP(D839,'报价表-配送'!$B$84:$I$88,8,0)</f>
        <v>0</v>
      </c>
      <c r="J839" s="38">
        <f>IF(AND(MOD(H839,30)&gt;8,MOD(H839,30)&lt;=18),1*VLOOKUP(D839,'报价表-配送'!$B$84:$I$88,7,0),0)</f>
        <v>0</v>
      </c>
      <c r="K839" s="38">
        <f>IF(AND(MOD(H839,30)&lt;=8,MOD(H839,30)&gt;0),1,0)*VLOOKUP(D839,'报价表-配送'!$B$84:$I$88,6,0)</f>
        <v>0</v>
      </c>
      <c r="L839" s="37"/>
      <c r="M839" s="39"/>
      <c r="N839" s="38">
        <f t="shared" si="12"/>
        <v>0</v>
      </c>
    </row>
    <row r="840" spans="1:14" x14ac:dyDescent="0.25">
      <c r="A840" t="s">
        <v>111</v>
      </c>
      <c r="B840" s="43" t="s">
        <v>113</v>
      </c>
      <c r="C840" s="62">
        <f>VLOOKUP(B840,合并仓明细!$D$2:$F$74,3,0)</f>
        <v>335</v>
      </c>
      <c r="D840" t="s">
        <v>410</v>
      </c>
      <c r="E840" s="43" t="s">
        <v>347</v>
      </c>
      <c r="F840" t="s">
        <v>66</v>
      </c>
      <c r="G840">
        <v>213.98166591</v>
      </c>
      <c r="H840"/>
      <c r="I840" s="46"/>
      <c r="J840" s="37"/>
      <c r="K840" s="37"/>
      <c r="L840" s="37"/>
      <c r="M840" s="37"/>
      <c r="N840" s="38">
        <f t="shared" si="12"/>
        <v>0</v>
      </c>
    </row>
    <row r="841" spans="1:14" x14ac:dyDescent="0.25">
      <c r="A841" t="s">
        <v>111</v>
      </c>
      <c r="B841" s="43" t="s">
        <v>113</v>
      </c>
      <c r="C841" s="62">
        <f>VLOOKUP(B841,合并仓明细!$D$2:$F$74,3,0)</f>
        <v>335</v>
      </c>
      <c r="D841" t="s">
        <v>410</v>
      </c>
      <c r="E841" s="43" t="s">
        <v>312</v>
      </c>
      <c r="F841" t="s">
        <v>68</v>
      </c>
      <c r="G841">
        <v>1920.7139999999999</v>
      </c>
      <c r="H841">
        <v>2.17773066664</v>
      </c>
      <c r="I841" s="46">
        <f>ROUNDUP(H841/30,0)*VLOOKUP(D841,'报价表-配送'!$B$84:$I$88,8,0)</f>
        <v>0</v>
      </c>
      <c r="N841" s="38">
        <f t="shared" si="12"/>
        <v>0</v>
      </c>
    </row>
    <row r="842" spans="1:14" x14ac:dyDescent="0.25">
      <c r="A842" t="s">
        <v>111</v>
      </c>
      <c r="B842" s="43" t="s">
        <v>113</v>
      </c>
      <c r="C842" s="62">
        <f>VLOOKUP(B842,合并仓明细!$D$2:$F$74,3,0)</f>
        <v>335</v>
      </c>
      <c r="D842" t="s">
        <v>410</v>
      </c>
      <c r="E842" s="43" t="s">
        <v>312</v>
      </c>
      <c r="F842" t="s">
        <v>66</v>
      </c>
      <c r="G842">
        <v>257.01666663999998</v>
      </c>
      <c r="H842"/>
      <c r="N842" s="38">
        <f t="shared" si="12"/>
        <v>0</v>
      </c>
    </row>
    <row r="843" spans="1:14" x14ac:dyDescent="0.25">
      <c r="A843" t="s">
        <v>111</v>
      </c>
      <c r="B843" s="43" t="s">
        <v>113</v>
      </c>
      <c r="C843" s="62">
        <f>VLOOKUP(B843,合并仓明细!$D$2:$F$74,3,0)</f>
        <v>335</v>
      </c>
      <c r="D843" t="s">
        <v>410</v>
      </c>
      <c r="E843" s="43" t="s">
        <v>319</v>
      </c>
      <c r="F843" t="s">
        <v>67</v>
      </c>
      <c r="G843">
        <v>5414.5653119999997</v>
      </c>
      <c r="H843">
        <v>6.791835311999999</v>
      </c>
      <c r="I843" s="38">
        <f>IF(H843&gt;30,QUOTIENT(H843,30)*VLOOKUP(D843,'报价表-配送'!$B$84:$I$88,8,0),0)+IF(AND(MOD(H843,30)&gt;18,MOD(H843,30)&lt;=30),1,0)*VLOOKUP(D843,'报价表-配送'!$B$84:$I$88,8,0)</f>
        <v>0</v>
      </c>
      <c r="J843" s="38">
        <f>IF(AND(MOD(H843,30)&gt;8,MOD(H843,30)&lt;=18),1*VLOOKUP(D843,'报价表-配送'!$B$84:$I$88,7,0),0)</f>
        <v>0</v>
      </c>
      <c r="K843" s="38">
        <f>IF(AND(MOD(H843,30)&lt;=8,MOD(H843,30)&gt;0),1,0)*VLOOKUP(D843,'报价表-配送'!$B$84:$I$88,6,0)</f>
        <v>0</v>
      </c>
      <c r="L843" s="37"/>
      <c r="M843" s="37"/>
      <c r="N843" s="38">
        <f t="shared" si="12"/>
        <v>0</v>
      </c>
    </row>
    <row r="844" spans="1:14" x14ac:dyDescent="0.25">
      <c r="A844" t="s">
        <v>111</v>
      </c>
      <c r="B844" s="43" t="s">
        <v>113</v>
      </c>
      <c r="C844" s="62">
        <f>VLOOKUP(B844,合并仓明细!$D$2:$F$74,3,0)</f>
        <v>335</v>
      </c>
      <c r="D844" t="s">
        <v>410</v>
      </c>
      <c r="E844" s="43" t="s">
        <v>319</v>
      </c>
      <c r="F844" t="s">
        <v>66</v>
      </c>
      <c r="G844">
        <v>1377.27</v>
      </c>
      <c r="H844"/>
      <c r="N844" s="38">
        <f t="shared" si="12"/>
        <v>0</v>
      </c>
    </row>
    <row r="845" spans="1:14" x14ac:dyDescent="0.25">
      <c r="A845" t="s">
        <v>111</v>
      </c>
      <c r="B845" s="43" t="s">
        <v>113</v>
      </c>
      <c r="C845" s="62">
        <f>VLOOKUP(B845,合并仓明细!$D$2:$F$74,3,0)</f>
        <v>335</v>
      </c>
      <c r="D845" t="s">
        <v>410</v>
      </c>
      <c r="E845" s="43" t="s">
        <v>355</v>
      </c>
      <c r="F845" t="s">
        <v>67</v>
      </c>
      <c r="G845">
        <v>9382.6811999999991</v>
      </c>
      <c r="H845">
        <v>10.1807912</v>
      </c>
      <c r="I845" s="38">
        <f>IF(H845&gt;30,QUOTIENT(H845,30)*VLOOKUP(D845,'报价表-配送'!$B$84:$I$88,8,0),0)+IF(AND(MOD(H845,30)&gt;18,MOD(H845,30)&lt;=30),1,0)*VLOOKUP(D845,'报价表-配送'!$B$84:$I$88,8,0)</f>
        <v>0</v>
      </c>
      <c r="J845" s="38">
        <f>IF(AND(MOD(H845,30)&gt;8,MOD(H845,30)&lt;=18),1*VLOOKUP(D845,'报价表-配送'!$B$84:$I$88,7,0),0)</f>
        <v>0</v>
      </c>
      <c r="K845" s="38">
        <f>IF(AND(MOD(H845,30)&lt;=8,MOD(H845,30)&gt;0),1,0)*VLOOKUP(D845,'报价表-配送'!$B$84:$I$88,6,0)</f>
        <v>0</v>
      </c>
      <c r="N845" s="38">
        <f t="shared" si="12"/>
        <v>0</v>
      </c>
    </row>
    <row r="846" spans="1:14" x14ac:dyDescent="0.25">
      <c r="A846" t="s">
        <v>111</v>
      </c>
      <c r="B846" s="43" t="s">
        <v>113</v>
      </c>
      <c r="C846" s="62">
        <f>VLOOKUP(B846,合并仓明细!$D$2:$F$74,3,0)</f>
        <v>335</v>
      </c>
      <c r="D846" t="s">
        <v>410</v>
      </c>
      <c r="E846" s="43" t="s">
        <v>355</v>
      </c>
      <c r="F846" t="s">
        <v>66</v>
      </c>
      <c r="G846">
        <v>798.1099999999999</v>
      </c>
      <c r="H846"/>
      <c r="I846" s="46"/>
      <c r="J846" s="37"/>
      <c r="K846" s="37"/>
      <c r="L846" s="37"/>
      <c r="M846" s="37"/>
      <c r="N846" s="38">
        <f t="shared" si="12"/>
        <v>0</v>
      </c>
    </row>
    <row r="847" spans="1:14" x14ac:dyDescent="0.25">
      <c r="A847" t="s">
        <v>111</v>
      </c>
      <c r="B847" s="43" t="s">
        <v>113</v>
      </c>
      <c r="C847" s="62">
        <f>VLOOKUP(B847,合并仓明细!$D$2:$F$74,3,0)</f>
        <v>335</v>
      </c>
      <c r="D847" t="s">
        <v>410</v>
      </c>
      <c r="E847" s="43" t="s">
        <v>254</v>
      </c>
      <c r="F847" t="s">
        <v>67</v>
      </c>
      <c r="G847">
        <v>6768.2066400000003</v>
      </c>
      <c r="H847">
        <v>6.8771691400000003</v>
      </c>
      <c r="I847" s="38">
        <f>IF(H847&gt;30,QUOTIENT(H847,30)*VLOOKUP(D847,'报价表-配送'!$B$84:$I$88,8,0),0)+IF(AND(MOD(H847,30)&gt;18,MOD(H847,30)&lt;=30),1,0)*VLOOKUP(D847,'报价表-配送'!$B$84:$I$88,8,0)</f>
        <v>0</v>
      </c>
      <c r="J847" s="38">
        <f>IF(AND(MOD(H847,30)&gt;8,MOD(H847,30)&lt;=18),1*VLOOKUP(D847,'报价表-配送'!$B$84:$I$88,7,0),0)</f>
        <v>0</v>
      </c>
      <c r="K847" s="38">
        <f>IF(AND(MOD(H847,30)&lt;=8,MOD(H847,30)&gt;0),1,0)*VLOOKUP(D847,'报价表-配送'!$B$84:$I$88,6,0)</f>
        <v>0</v>
      </c>
      <c r="N847" s="38">
        <f t="shared" si="12"/>
        <v>0</v>
      </c>
    </row>
    <row r="848" spans="1:14" x14ac:dyDescent="0.25">
      <c r="A848" t="s">
        <v>111</v>
      </c>
      <c r="B848" s="43" t="s">
        <v>113</v>
      </c>
      <c r="C848" s="62">
        <f>VLOOKUP(B848,合并仓明细!$D$2:$F$74,3,0)</f>
        <v>335</v>
      </c>
      <c r="D848" t="s">
        <v>410</v>
      </c>
      <c r="E848" s="43" t="s">
        <v>254</v>
      </c>
      <c r="F848" t="s">
        <v>66</v>
      </c>
      <c r="G848">
        <v>108.96250000000001</v>
      </c>
      <c r="H848"/>
      <c r="N848" s="38">
        <f t="shared" si="12"/>
        <v>0</v>
      </c>
    </row>
    <row r="849" spans="1:14" x14ac:dyDescent="0.25">
      <c r="A849" t="s">
        <v>111</v>
      </c>
      <c r="B849" s="43" t="s">
        <v>114</v>
      </c>
      <c r="C849" s="62">
        <f>VLOOKUP(B849,合并仓明细!$D$2:$F$74,3,0)</f>
        <v>294</v>
      </c>
      <c r="D849" s="44" t="s">
        <v>414</v>
      </c>
      <c r="E849" s="43" t="s">
        <v>317</v>
      </c>
      <c r="F849" t="s">
        <v>67</v>
      </c>
      <c r="G849">
        <v>2707.2826559999999</v>
      </c>
      <c r="H849">
        <v>2.8564026559999998</v>
      </c>
      <c r="I849" s="38">
        <f>IF(H849&gt;30,QUOTIENT(H849,30)*VLOOKUP(D849,'报价表-配送'!$B$84:$I$88,8,0),0)+IF(AND(MOD(H849,30)&gt;18,MOD(H849,30)&lt;=30),1,0)*VLOOKUP(D849,'报价表-配送'!$B$84:$I$88,8,0)</f>
        <v>0</v>
      </c>
      <c r="J849" s="38">
        <f>IF(AND(MOD(H849,30)&gt;8,MOD(H849,30)&lt;=18),1*VLOOKUP(D849,'报价表-配送'!$B$84:$I$88,7,0),0)</f>
        <v>0</v>
      </c>
      <c r="K849" s="38">
        <f>IF(AND(MOD(H849,30)&lt;=8,MOD(H849,30)&gt;0),1,0)*VLOOKUP(D849,'报价表-配送'!$B$84:$I$88,6,0)</f>
        <v>0</v>
      </c>
      <c r="L849" s="37"/>
      <c r="M849" s="37"/>
      <c r="N849" s="38">
        <f t="shared" si="12"/>
        <v>0</v>
      </c>
    </row>
    <row r="850" spans="1:14" x14ac:dyDescent="0.25">
      <c r="A850" t="s">
        <v>111</v>
      </c>
      <c r="B850" s="43" t="s">
        <v>114</v>
      </c>
      <c r="C850" s="62">
        <f>VLOOKUP(B850,合并仓明细!$D$2:$F$74,3,0)</f>
        <v>294</v>
      </c>
      <c r="D850" s="44" t="s">
        <v>414</v>
      </c>
      <c r="E850" s="43" t="s">
        <v>317</v>
      </c>
      <c r="F850" t="s">
        <v>66</v>
      </c>
      <c r="G850">
        <v>149.12</v>
      </c>
      <c r="H850"/>
      <c r="N850" s="38">
        <f t="shared" si="12"/>
        <v>0</v>
      </c>
    </row>
    <row r="851" spans="1:14" x14ac:dyDescent="0.25">
      <c r="A851" t="s">
        <v>111</v>
      </c>
      <c r="B851" s="43" t="s">
        <v>114</v>
      </c>
      <c r="C851" s="62">
        <f>VLOOKUP(B851,合并仓明细!$D$2:$F$74,3,0)</f>
        <v>294</v>
      </c>
      <c r="D851" s="44" t="s">
        <v>414</v>
      </c>
      <c r="E851" s="43" t="s">
        <v>319</v>
      </c>
      <c r="F851" t="s">
        <v>67</v>
      </c>
      <c r="G851">
        <v>6017.2037999999993</v>
      </c>
      <c r="H851">
        <v>6.2423287999999992</v>
      </c>
      <c r="I851" s="38">
        <f>IF(H851&gt;30,QUOTIENT(H851,30)*VLOOKUP(D851,'报价表-配送'!$B$84:$I$88,8,0),0)+IF(AND(MOD(H851,30)&gt;18,MOD(H851,30)&lt;=30),1,0)*VLOOKUP(D851,'报价表-配送'!$B$84:$I$88,8,0)</f>
        <v>0</v>
      </c>
      <c r="J851" s="38">
        <f>IF(AND(MOD(H851,30)&gt;8,MOD(H851,30)&lt;=18),1*VLOOKUP(D851,'报价表-配送'!$B$84:$I$88,7,0),0)</f>
        <v>0</v>
      </c>
      <c r="K851" s="38">
        <f>IF(AND(MOD(H851,30)&lt;=8,MOD(H851,30)&gt;0),1,0)*VLOOKUP(D851,'报价表-配送'!$B$84:$I$88,6,0)</f>
        <v>0</v>
      </c>
      <c r="N851" s="38">
        <f t="shared" si="12"/>
        <v>0</v>
      </c>
    </row>
    <row r="852" spans="1:14" x14ac:dyDescent="0.25">
      <c r="A852" t="s">
        <v>111</v>
      </c>
      <c r="B852" s="43" t="s">
        <v>114</v>
      </c>
      <c r="C852" s="62">
        <f>VLOOKUP(B852,合并仓明细!$D$2:$F$74,3,0)</f>
        <v>294</v>
      </c>
      <c r="D852" s="44" t="s">
        <v>414</v>
      </c>
      <c r="E852" s="43" t="s">
        <v>319</v>
      </c>
      <c r="F852" t="s">
        <v>66</v>
      </c>
      <c r="G852">
        <v>225.125</v>
      </c>
      <c r="H852"/>
      <c r="I852" s="38"/>
      <c r="J852" s="38"/>
      <c r="K852" s="38"/>
      <c r="L852" s="37"/>
      <c r="M852" s="37"/>
      <c r="N852" s="38">
        <f t="shared" si="12"/>
        <v>0</v>
      </c>
    </row>
    <row r="853" spans="1:14" x14ac:dyDescent="0.25">
      <c r="A853" t="s">
        <v>111</v>
      </c>
      <c r="B853" s="43" t="s">
        <v>114</v>
      </c>
      <c r="C853" s="62">
        <f>VLOOKUP(B853,合并仓明细!$D$2:$F$74,3,0)</f>
        <v>294</v>
      </c>
      <c r="D853" s="44" t="s">
        <v>414</v>
      </c>
      <c r="E853" s="43" t="s">
        <v>356</v>
      </c>
      <c r="F853" t="s">
        <v>66</v>
      </c>
      <c r="G853">
        <v>4.5125000000000002</v>
      </c>
      <c r="H853">
        <v>4.5125E-3</v>
      </c>
      <c r="L853" s="37">
        <f>IF(H853&gt;30,QUOTIENT(H853,30)*VLOOKUP(D853,'报价表-配送'!$B$84:$I$88,8,0),0)+IF(AND(MOD(H853,30)&gt;18,MOD(H853,30)&lt;=30),1,0)*VLOOKUP(D853,'报价表-配送'!$B$84:$I$88,8,0)+IF(AND(MOD(H853,30)&gt;8,MOD(H853,30)&lt;=18),1*VLOOKUP(D853,'报价表-配送'!$B$84:$I$88,7,0),0)+IF(AND(MOD(H853,30)&lt;=8,MOD(H853,30)&gt;2.5),1,0)*VLOOKUP(D853,'报价表-配送'!$B$84:$I$88,6,0)+IF(AND(MOD(H853,30)&lt;=2.5,MOD(H853,30)&gt;=1.5),1,0)*VLOOKUP(D853,'报价表-配送'!$B$84:$I$88,5,0)</f>
        <v>0</v>
      </c>
      <c r="M853" s="39">
        <f>IF(AND(MOD(H853,30)&lt;1.5,MOD(H853,30)&gt;=0.5),H853,0)*VLOOKUP(D853,'报价表-配送'!$B$84:$I$88,4,0)*1000+IF(AND(MOD(H853,30)&lt;0.5,MOD(H853,30)&gt;=0.02),H853,0)*VLOOKUP(D853,'报价表-配送'!$B$84:$I$88,3,0)*1000+IF(AND(MOD(H853,30)&lt;0.02),H853,0)*VLOOKUP(D853,'报价表-配送'!$B$84:$I$88,2,0)*1000</f>
        <v>0</v>
      </c>
      <c r="N853" s="38">
        <f t="shared" si="12"/>
        <v>0</v>
      </c>
    </row>
    <row r="854" spans="1:14" x14ac:dyDescent="0.25">
      <c r="A854" t="s">
        <v>111</v>
      </c>
      <c r="B854" s="43" t="s">
        <v>115</v>
      </c>
      <c r="C854" s="62">
        <f>VLOOKUP(B854,合并仓明细!$D$2:$F$74,3,0)</f>
        <v>69</v>
      </c>
      <c r="D854" t="s">
        <v>393</v>
      </c>
      <c r="E854" s="43" t="s">
        <v>262</v>
      </c>
      <c r="F854" t="s">
        <v>66</v>
      </c>
      <c r="G854">
        <v>896.16333320000001</v>
      </c>
      <c r="H854">
        <v>0.89616333319999997</v>
      </c>
      <c r="I854" s="46"/>
      <c r="J854" s="37"/>
      <c r="K854" s="37"/>
      <c r="L854" s="37">
        <f>IF(H854&gt;30,QUOTIENT(H854,30)*VLOOKUP(D854,'报价表-配送'!$B$84:$I$88,8,0),0)+IF(AND(MOD(H854,30)&gt;18,MOD(H854,30)&lt;=30),1,0)*VLOOKUP(D854,'报价表-配送'!$B$84:$I$88,8,0)+IF(AND(MOD(H854,30)&gt;8,MOD(H854,30)&lt;=18),1*VLOOKUP(D854,'报价表-配送'!$B$84:$I$88,7,0),0)+IF(AND(MOD(H854,30)&lt;=8,MOD(H854,30)&gt;2.5),1,0)*VLOOKUP(D854,'报价表-配送'!$B$84:$I$88,6,0)+IF(AND(MOD(H854,30)&lt;=2.5,MOD(H854,30)&gt;=1.5),1,0)*VLOOKUP(D854,'报价表-配送'!$B$84:$I$88,5,0)</f>
        <v>0</v>
      </c>
      <c r="M854" s="39">
        <f>IF(AND(MOD(H854,30)&lt;1.5,MOD(H854,30)&gt;=0.5),H854,0)*VLOOKUP(D854,'报价表-配送'!$B$84:$I$88,4,0)*1000+IF(AND(MOD(H854,30)&lt;0.5,MOD(H854,30)&gt;=0.02),H854,0)*VLOOKUP(D854,'报价表-配送'!$B$84:$I$88,3,0)*1000+IF(AND(MOD(H854,30)&lt;0.02),H854,0)*VLOOKUP(D854,'报价表-配送'!$B$84:$I$88,2,0)*1000</f>
        <v>0</v>
      </c>
      <c r="N854" s="38">
        <f t="shared" si="12"/>
        <v>0</v>
      </c>
    </row>
    <row r="855" spans="1:14" x14ac:dyDescent="0.25">
      <c r="A855" t="s">
        <v>111</v>
      </c>
      <c r="B855" s="43" t="s">
        <v>115</v>
      </c>
      <c r="C855" s="62">
        <f>VLOOKUP(B855,合并仓明细!$D$2:$F$74,3,0)</f>
        <v>69</v>
      </c>
      <c r="D855" t="s">
        <v>393</v>
      </c>
      <c r="E855" s="43" t="s">
        <v>263</v>
      </c>
      <c r="F855" t="s">
        <v>68</v>
      </c>
      <c r="G855">
        <v>329.73599999999999</v>
      </c>
      <c r="H855">
        <v>10.166606628</v>
      </c>
      <c r="I855" s="46">
        <f>ROUNDUP(H855/30,0)*VLOOKUP(D855,'报价表-配送'!$B$84:$I$88,8,0)</f>
        <v>0</v>
      </c>
      <c r="N855" s="38">
        <f t="shared" si="12"/>
        <v>0</v>
      </c>
    </row>
    <row r="856" spans="1:14" x14ac:dyDescent="0.25">
      <c r="A856" t="s">
        <v>111</v>
      </c>
      <c r="B856" s="43" t="s">
        <v>115</v>
      </c>
      <c r="C856" s="62">
        <f>VLOOKUP(B856,合并仓明细!$D$2:$F$74,3,0)</f>
        <v>69</v>
      </c>
      <c r="D856" t="s">
        <v>393</v>
      </c>
      <c r="E856" s="43" t="s">
        <v>263</v>
      </c>
      <c r="F856" t="s">
        <v>67</v>
      </c>
      <c r="G856">
        <v>9616.3706279999988</v>
      </c>
      <c r="H856"/>
      <c r="N856" s="38">
        <f t="shared" ref="N856:N919" si="13">SUM(I856:M856)</f>
        <v>0</v>
      </c>
    </row>
    <row r="857" spans="1:14" x14ac:dyDescent="0.25">
      <c r="A857" t="s">
        <v>111</v>
      </c>
      <c r="B857" s="43" t="s">
        <v>115</v>
      </c>
      <c r="C857" s="62">
        <f>VLOOKUP(B857,合并仓明细!$D$2:$F$74,3,0)</f>
        <v>69</v>
      </c>
      <c r="D857" t="s">
        <v>393</v>
      </c>
      <c r="E857" s="43" t="s">
        <v>263</v>
      </c>
      <c r="F857" t="s">
        <v>66</v>
      </c>
      <c r="G857">
        <v>220.5</v>
      </c>
      <c r="H857"/>
      <c r="I857" s="46"/>
      <c r="J857" s="37"/>
      <c r="K857" s="37"/>
      <c r="L857" s="37"/>
      <c r="M857" s="37"/>
      <c r="N857" s="38">
        <f t="shared" si="13"/>
        <v>0</v>
      </c>
    </row>
    <row r="858" spans="1:14" x14ac:dyDescent="0.25">
      <c r="A858" t="s">
        <v>111</v>
      </c>
      <c r="B858" s="43" t="s">
        <v>115</v>
      </c>
      <c r="C858" s="62">
        <f>VLOOKUP(B858,合并仓明细!$D$2:$F$74,3,0)</f>
        <v>69</v>
      </c>
      <c r="D858" t="s">
        <v>393</v>
      </c>
      <c r="E858" s="43" t="s">
        <v>264</v>
      </c>
      <c r="F858" t="s">
        <v>66</v>
      </c>
      <c r="G858">
        <v>1193.3899999999999</v>
      </c>
      <c r="H858">
        <v>1.19339</v>
      </c>
      <c r="L858" s="37">
        <f>IF(H858&gt;30,QUOTIENT(H858,30)*VLOOKUP(D858,'报价表-配送'!$B$84:$I$88,8,0),0)+IF(AND(MOD(H858,30)&gt;18,MOD(H858,30)&lt;=30),1,0)*VLOOKUP(D858,'报价表-配送'!$B$84:$I$88,8,0)+IF(AND(MOD(H858,30)&gt;8,MOD(H858,30)&lt;=18),1*VLOOKUP(D858,'报价表-配送'!$B$84:$I$88,7,0),0)+IF(AND(MOD(H858,30)&lt;=8,MOD(H858,30)&gt;2.5),1,0)*VLOOKUP(D858,'报价表-配送'!$B$84:$I$88,6,0)+IF(AND(MOD(H858,30)&lt;=2.5,MOD(H858,30)&gt;=1.5),1,0)*VLOOKUP(D858,'报价表-配送'!$B$84:$I$88,5,0)</f>
        <v>0</v>
      </c>
      <c r="M858" s="39">
        <f>IF(AND(MOD(H858,30)&lt;1.5,MOD(H858,30)&gt;=0.5),H858,0)*VLOOKUP(D858,'报价表-配送'!$B$84:$I$88,4,0)*1000+IF(AND(MOD(H858,30)&lt;0.5,MOD(H858,30)&gt;=0.02),H858,0)*VLOOKUP(D858,'报价表-配送'!$B$84:$I$88,3,0)*1000+IF(AND(MOD(H858,30)&lt;0.02),H858,0)*VLOOKUP(D858,'报价表-配送'!$B$84:$I$88,2,0)*1000</f>
        <v>0</v>
      </c>
      <c r="N858" s="38">
        <f t="shared" si="13"/>
        <v>0</v>
      </c>
    </row>
    <row r="859" spans="1:14" x14ac:dyDescent="0.25">
      <c r="A859" t="s">
        <v>111</v>
      </c>
      <c r="B859" s="43" t="s">
        <v>115</v>
      </c>
      <c r="C859" s="62">
        <f>VLOOKUP(B859,合并仓明细!$D$2:$F$74,3,0)</f>
        <v>69</v>
      </c>
      <c r="D859" t="s">
        <v>393</v>
      </c>
      <c r="E859" s="43" t="s">
        <v>257</v>
      </c>
      <c r="F859" t="s">
        <v>67</v>
      </c>
      <c r="G859">
        <v>2517.2503000000002</v>
      </c>
      <c r="H859">
        <v>2.7020127999999999</v>
      </c>
      <c r="I859" s="38">
        <f>IF(H859&gt;30,QUOTIENT(H859,30)*VLOOKUP(D859,'报价表-配送'!$B$84:$I$88,8,0),0)+IF(AND(MOD(H859,30)&gt;18,MOD(H859,30)&lt;=30),1,0)*VLOOKUP(D859,'报价表-配送'!$B$84:$I$88,8,0)</f>
        <v>0</v>
      </c>
      <c r="J859" s="38">
        <f>IF(AND(MOD(H859,30)&gt;8,MOD(H859,30)&lt;=18),1*VLOOKUP(D859,'报价表-配送'!$B$84:$I$88,7,0),0)</f>
        <v>0</v>
      </c>
      <c r="K859" s="38">
        <f>IF(AND(MOD(H859,30)&lt;=8,MOD(H859,30)&gt;0),1,0)*VLOOKUP(D859,'报价表-配送'!$B$84:$I$88,6,0)</f>
        <v>0</v>
      </c>
      <c r="N859" s="38">
        <f t="shared" si="13"/>
        <v>0</v>
      </c>
    </row>
    <row r="860" spans="1:14" x14ac:dyDescent="0.25">
      <c r="A860" t="s">
        <v>111</v>
      </c>
      <c r="B860" s="43" t="s">
        <v>115</v>
      </c>
      <c r="C860" s="62">
        <f>VLOOKUP(B860,合并仓明细!$D$2:$F$74,3,0)</f>
        <v>69</v>
      </c>
      <c r="D860" t="s">
        <v>393</v>
      </c>
      <c r="E860" s="43" t="s">
        <v>257</v>
      </c>
      <c r="F860" t="s">
        <v>66</v>
      </c>
      <c r="G860">
        <v>184.76250000000002</v>
      </c>
      <c r="H860"/>
      <c r="I860" s="38"/>
      <c r="J860" s="38"/>
      <c r="K860" s="38"/>
      <c r="L860" s="37"/>
      <c r="M860" s="37"/>
      <c r="N860" s="38">
        <f t="shared" si="13"/>
        <v>0</v>
      </c>
    </row>
    <row r="861" spans="1:14" x14ac:dyDescent="0.25">
      <c r="A861" t="s">
        <v>111</v>
      </c>
      <c r="B861" s="43" t="s">
        <v>115</v>
      </c>
      <c r="C861" s="62">
        <f>VLOOKUP(B861,合并仓明细!$D$2:$F$74,3,0)</f>
        <v>69</v>
      </c>
      <c r="D861" t="s">
        <v>393</v>
      </c>
      <c r="E861" s="43" t="s">
        <v>334</v>
      </c>
      <c r="F861" t="s">
        <v>68</v>
      </c>
      <c r="G861">
        <v>4922.2775999999994</v>
      </c>
      <c r="H861">
        <v>4.9222775999999993</v>
      </c>
      <c r="I861" s="46">
        <f>ROUNDUP(H861/30,0)*VLOOKUP(D861,'报价表-配送'!$B$84:$I$88,8,0)</f>
        <v>0</v>
      </c>
      <c r="N861" s="38">
        <f t="shared" si="13"/>
        <v>0</v>
      </c>
    </row>
    <row r="862" spans="1:14" x14ac:dyDescent="0.25">
      <c r="A862" t="s">
        <v>111</v>
      </c>
      <c r="B862" s="43" t="s">
        <v>115</v>
      </c>
      <c r="C862" s="62">
        <f>VLOOKUP(B862,合并仓明细!$D$2:$F$74,3,0)</f>
        <v>69</v>
      </c>
      <c r="D862" t="s">
        <v>393</v>
      </c>
      <c r="E862" s="43" t="s">
        <v>334</v>
      </c>
      <c r="F862" t="s">
        <v>67</v>
      </c>
      <c r="G862">
        <v>0</v>
      </c>
      <c r="H862"/>
      <c r="L862" s="37"/>
      <c r="M862" s="39"/>
      <c r="N862" s="38">
        <f t="shared" si="13"/>
        <v>0</v>
      </c>
    </row>
    <row r="863" spans="1:14" x14ac:dyDescent="0.25">
      <c r="A863" t="s">
        <v>111</v>
      </c>
      <c r="B863" s="43" t="s">
        <v>115</v>
      </c>
      <c r="C863" s="62">
        <f>VLOOKUP(B863,合并仓明细!$D$2:$F$74,3,0)</f>
        <v>69</v>
      </c>
      <c r="D863" t="s">
        <v>393</v>
      </c>
      <c r="E863" s="43" t="s">
        <v>269</v>
      </c>
      <c r="F863" t="s">
        <v>66</v>
      </c>
      <c r="G863">
        <v>1293.0974999</v>
      </c>
      <c r="H863">
        <v>1.2930974999</v>
      </c>
      <c r="L863" s="37">
        <f>IF(H863&gt;30,QUOTIENT(H863,30)*VLOOKUP(D863,'报价表-配送'!$B$84:$I$88,8,0),0)+IF(AND(MOD(H863,30)&gt;18,MOD(H863,30)&lt;=30),1,0)*VLOOKUP(D863,'报价表-配送'!$B$84:$I$88,8,0)+IF(AND(MOD(H863,30)&gt;8,MOD(H863,30)&lt;=18),1*VLOOKUP(D863,'报价表-配送'!$B$84:$I$88,7,0),0)+IF(AND(MOD(H863,30)&lt;=8,MOD(H863,30)&gt;2.5),1,0)*VLOOKUP(D863,'报价表-配送'!$B$84:$I$88,6,0)+IF(AND(MOD(H863,30)&lt;=2.5,MOD(H863,30)&gt;=1.5),1,0)*VLOOKUP(D863,'报价表-配送'!$B$84:$I$88,5,0)</f>
        <v>0</v>
      </c>
      <c r="M863" s="39">
        <f>IF(AND(MOD(H863,30)&lt;1.5,MOD(H863,30)&gt;=0.5),H863,0)*VLOOKUP(D863,'报价表-配送'!$B$84:$I$88,4,0)*1000+IF(AND(MOD(H863,30)&lt;0.5,MOD(H863,30)&gt;=0.02),H863,0)*VLOOKUP(D863,'报价表-配送'!$B$84:$I$88,3,0)*1000+IF(AND(MOD(H863,30)&lt;0.02),H863,0)*VLOOKUP(D863,'报价表-配送'!$B$84:$I$88,2,0)*1000</f>
        <v>0</v>
      </c>
      <c r="N863" s="38">
        <f t="shared" si="13"/>
        <v>0</v>
      </c>
    </row>
    <row r="864" spans="1:14" x14ac:dyDescent="0.25">
      <c r="A864" t="s">
        <v>111</v>
      </c>
      <c r="B864" s="43" t="s">
        <v>115</v>
      </c>
      <c r="C864" s="62">
        <f>VLOOKUP(B864,合并仓明细!$D$2:$F$74,3,0)</f>
        <v>69</v>
      </c>
      <c r="D864" t="s">
        <v>393</v>
      </c>
      <c r="E864" s="43" t="s">
        <v>270</v>
      </c>
      <c r="F864" t="s">
        <v>68</v>
      </c>
      <c r="G864">
        <v>576.21420000000001</v>
      </c>
      <c r="H864">
        <v>5.6019980499999997</v>
      </c>
      <c r="I864" s="46">
        <f>ROUNDUP(H864/30,0)*VLOOKUP(D864,'报价表-配送'!$B$84:$I$88,8,0)</f>
        <v>0</v>
      </c>
      <c r="L864" s="37"/>
      <c r="M864" s="39"/>
      <c r="N864" s="38">
        <f t="shared" si="13"/>
        <v>0</v>
      </c>
    </row>
    <row r="865" spans="1:14" x14ac:dyDescent="0.25">
      <c r="A865" t="s">
        <v>111</v>
      </c>
      <c r="B865" s="43" t="s">
        <v>115</v>
      </c>
      <c r="C865" s="62">
        <f>VLOOKUP(B865,合并仓明细!$D$2:$F$74,3,0)</f>
        <v>69</v>
      </c>
      <c r="D865" t="s">
        <v>393</v>
      </c>
      <c r="E865" s="43" t="s">
        <v>270</v>
      </c>
      <c r="F865" t="s">
        <v>67</v>
      </c>
      <c r="G865">
        <v>4199.7838499999998</v>
      </c>
      <c r="H865"/>
      <c r="L865" s="37"/>
      <c r="M865" s="39"/>
      <c r="N865" s="38">
        <f t="shared" si="13"/>
        <v>0</v>
      </c>
    </row>
    <row r="866" spans="1:14" x14ac:dyDescent="0.25">
      <c r="A866" t="s">
        <v>111</v>
      </c>
      <c r="B866" s="43" t="s">
        <v>115</v>
      </c>
      <c r="C866" s="62">
        <f>VLOOKUP(B866,合并仓明细!$D$2:$F$74,3,0)</f>
        <v>69</v>
      </c>
      <c r="D866" t="s">
        <v>393</v>
      </c>
      <c r="E866" s="43" t="s">
        <v>270</v>
      </c>
      <c r="F866" t="s">
        <v>66</v>
      </c>
      <c r="G866">
        <v>826</v>
      </c>
      <c r="H866"/>
      <c r="I866" s="38"/>
      <c r="J866" s="38"/>
      <c r="K866" s="38"/>
      <c r="L866" s="37"/>
      <c r="M866" s="37"/>
      <c r="N866" s="38">
        <f t="shared" si="13"/>
        <v>0</v>
      </c>
    </row>
    <row r="867" spans="1:14" x14ac:dyDescent="0.25">
      <c r="A867" t="s">
        <v>111</v>
      </c>
      <c r="B867" s="43" t="s">
        <v>115</v>
      </c>
      <c r="C867" s="62">
        <f>VLOOKUP(B867,合并仓明细!$D$2:$F$74,3,0)</f>
        <v>69</v>
      </c>
      <c r="D867" t="s">
        <v>393</v>
      </c>
      <c r="E867" s="43" t="s">
        <v>272</v>
      </c>
      <c r="F867" t="s">
        <v>66</v>
      </c>
      <c r="G867">
        <v>1855.5199999000001</v>
      </c>
      <c r="H867">
        <v>1.8555199999</v>
      </c>
      <c r="L867" s="37">
        <f>IF(H867&gt;30,QUOTIENT(H867,30)*VLOOKUP(D867,'报价表-配送'!$B$84:$I$88,8,0),0)+IF(AND(MOD(H867,30)&gt;18,MOD(H867,30)&lt;=30),1,0)*VLOOKUP(D867,'报价表-配送'!$B$84:$I$88,8,0)+IF(AND(MOD(H867,30)&gt;8,MOD(H867,30)&lt;=18),1*VLOOKUP(D867,'报价表-配送'!$B$84:$I$88,7,0),0)+IF(AND(MOD(H867,30)&lt;=8,MOD(H867,30)&gt;2.5),1,0)*VLOOKUP(D867,'报价表-配送'!$B$84:$I$88,6,0)+IF(AND(MOD(H867,30)&lt;=2.5,MOD(H867,30)&gt;=1.5),1,0)*VLOOKUP(D867,'报价表-配送'!$B$84:$I$88,5,0)</f>
        <v>0</v>
      </c>
      <c r="M867" s="39">
        <f>IF(AND(MOD(H867,30)&lt;1.5,MOD(H867,30)&gt;=0.5),H867,0)*VLOOKUP(D867,'报价表-配送'!$B$84:$I$88,4,0)*1000+IF(AND(MOD(H867,30)&lt;0.5,MOD(H867,30)&gt;=0.02),H867,0)*VLOOKUP(D867,'报价表-配送'!$B$84:$I$88,3,0)*1000+IF(AND(MOD(H867,30)&lt;0.02),H867,0)*VLOOKUP(D867,'报价表-配送'!$B$84:$I$88,2,0)*1000</f>
        <v>0</v>
      </c>
      <c r="N867" s="38">
        <f t="shared" si="13"/>
        <v>0</v>
      </c>
    </row>
    <row r="868" spans="1:14" x14ac:dyDescent="0.25">
      <c r="A868" t="s">
        <v>111</v>
      </c>
      <c r="B868" s="43" t="s">
        <v>115</v>
      </c>
      <c r="C868" s="62">
        <f>VLOOKUP(B868,合并仓明细!$D$2:$F$74,3,0)</f>
        <v>69</v>
      </c>
      <c r="D868" t="s">
        <v>393</v>
      </c>
      <c r="E868" s="43" t="s">
        <v>273</v>
      </c>
      <c r="F868" t="s">
        <v>68</v>
      </c>
      <c r="G868">
        <v>6489.8756400000002</v>
      </c>
      <c r="H868">
        <v>6.4898756400000002</v>
      </c>
      <c r="I868" s="46">
        <f>ROUNDUP(H868/30,0)*VLOOKUP(D868,'报价表-配送'!$B$84:$I$88,8,0)</f>
        <v>0</v>
      </c>
      <c r="J868" s="38"/>
      <c r="K868" s="38"/>
      <c r="L868" s="37"/>
      <c r="M868" s="37"/>
      <c r="N868" s="38">
        <f t="shared" si="13"/>
        <v>0</v>
      </c>
    </row>
    <row r="869" spans="1:14" x14ac:dyDescent="0.25">
      <c r="A869" t="s">
        <v>111</v>
      </c>
      <c r="B869" s="43" t="s">
        <v>115</v>
      </c>
      <c r="C869" s="62">
        <f>VLOOKUP(B869,合并仓明细!$D$2:$F$74,3,0)</f>
        <v>69</v>
      </c>
      <c r="D869" t="s">
        <v>393</v>
      </c>
      <c r="E869" s="43" t="s">
        <v>275</v>
      </c>
      <c r="F869" t="s">
        <v>66</v>
      </c>
      <c r="G869">
        <v>303.17333330000002</v>
      </c>
      <c r="H869">
        <v>0.30317333330000001</v>
      </c>
      <c r="L869" s="37">
        <f>IF(H869&gt;30,QUOTIENT(H869,30)*VLOOKUP(D869,'报价表-配送'!$B$84:$I$88,8,0),0)+IF(AND(MOD(H869,30)&gt;18,MOD(H869,30)&lt;=30),1,0)*VLOOKUP(D869,'报价表-配送'!$B$84:$I$88,8,0)+IF(AND(MOD(H869,30)&gt;8,MOD(H869,30)&lt;=18),1*VLOOKUP(D869,'报价表-配送'!$B$84:$I$88,7,0),0)+IF(AND(MOD(H869,30)&lt;=8,MOD(H869,30)&gt;2.5),1,0)*VLOOKUP(D869,'报价表-配送'!$B$84:$I$88,6,0)+IF(AND(MOD(H869,30)&lt;=2.5,MOD(H869,30)&gt;=1.5),1,0)*VLOOKUP(D869,'报价表-配送'!$B$84:$I$88,5,0)</f>
        <v>0</v>
      </c>
      <c r="M869" s="39">
        <f>IF(AND(MOD(H869,30)&lt;1.5,MOD(H869,30)&gt;=0.5),H869,0)*VLOOKUP(D869,'报价表-配送'!$B$84:$I$88,4,0)*1000+IF(AND(MOD(H869,30)&lt;0.5,MOD(H869,30)&gt;=0.02),H869,0)*VLOOKUP(D869,'报价表-配送'!$B$84:$I$88,3,0)*1000+IF(AND(MOD(H869,30)&lt;0.02),H869,0)*VLOOKUP(D869,'报价表-配送'!$B$84:$I$88,2,0)*1000</f>
        <v>0</v>
      </c>
      <c r="N869" s="38">
        <f t="shared" si="13"/>
        <v>0</v>
      </c>
    </row>
    <row r="870" spans="1:14" x14ac:dyDescent="0.25">
      <c r="A870" t="s">
        <v>111</v>
      </c>
      <c r="B870" s="43" t="s">
        <v>115</v>
      </c>
      <c r="C870" s="62">
        <f>VLOOKUP(B870,合并仓明细!$D$2:$F$74,3,0)</f>
        <v>69</v>
      </c>
      <c r="D870" t="s">
        <v>393</v>
      </c>
      <c r="E870" s="43" t="s">
        <v>277</v>
      </c>
      <c r="F870" t="s">
        <v>68</v>
      </c>
      <c r="G870">
        <v>1062.048</v>
      </c>
      <c r="H870">
        <v>7.3560914627300011</v>
      </c>
      <c r="I870" s="46">
        <f>ROUNDUP(H870/30,0)*VLOOKUP(D870,'报价表-配送'!$B$84:$I$88,8,0)</f>
        <v>0</v>
      </c>
      <c r="J870" s="37"/>
      <c r="K870" s="37"/>
      <c r="L870" s="37"/>
      <c r="M870" s="37"/>
      <c r="N870" s="38">
        <f t="shared" si="13"/>
        <v>0</v>
      </c>
    </row>
    <row r="871" spans="1:14" x14ac:dyDescent="0.25">
      <c r="A871" t="s">
        <v>111</v>
      </c>
      <c r="B871" s="43" t="s">
        <v>115</v>
      </c>
      <c r="C871" s="62">
        <f>VLOOKUP(B871,合并仓明细!$D$2:$F$74,3,0)</f>
        <v>69</v>
      </c>
      <c r="D871" t="s">
        <v>393</v>
      </c>
      <c r="E871" s="43" t="s">
        <v>277</v>
      </c>
      <c r="F871" t="s">
        <v>67</v>
      </c>
      <c r="G871">
        <v>6294.043462730001</v>
      </c>
      <c r="H871"/>
      <c r="N871" s="38">
        <f t="shared" si="13"/>
        <v>0</v>
      </c>
    </row>
    <row r="872" spans="1:14" x14ac:dyDescent="0.25">
      <c r="A872" t="s">
        <v>111</v>
      </c>
      <c r="B872" s="43" t="s">
        <v>115</v>
      </c>
      <c r="C872" s="62">
        <f>VLOOKUP(B872,合并仓明细!$D$2:$F$74,3,0)</f>
        <v>69</v>
      </c>
      <c r="D872" t="s">
        <v>393</v>
      </c>
      <c r="E872" s="43" t="s">
        <v>278</v>
      </c>
      <c r="F872" t="s">
        <v>67</v>
      </c>
      <c r="G872">
        <v>11318.928797999999</v>
      </c>
      <c r="H872">
        <v>11.728928797999998</v>
      </c>
      <c r="I872" s="38">
        <f>IF(H872&gt;30,QUOTIENT(H872,30)*VLOOKUP(D872,'报价表-配送'!$B$84:$I$88,8,0),0)+IF(AND(MOD(H872,30)&gt;18,MOD(H872,30)&lt;=30),1,0)*VLOOKUP(D872,'报价表-配送'!$B$84:$I$88,8,0)</f>
        <v>0</v>
      </c>
      <c r="J872" s="38">
        <f>IF(AND(MOD(H872,30)&gt;8,MOD(H872,30)&lt;=18),1*VLOOKUP(D872,'报价表-配送'!$B$84:$I$88,7,0),0)</f>
        <v>0</v>
      </c>
      <c r="K872" s="38">
        <f>IF(AND(MOD(H872,30)&lt;=8,MOD(H872,30)&gt;0),1,0)*VLOOKUP(D872,'报价表-配送'!$B$84:$I$88,6,0)</f>
        <v>0</v>
      </c>
      <c r="N872" s="38">
        <f t="shared" si="13"/>
        <v>0</v>
      </c>
    </row>
    <row r="873" spans="1:14" x14ac:dyDescent="0.25">
      <c r="A873" t="s">
        <v>111</v>
      </c>
      <c r="B873" s="43" t="s">
        <v>115</v>
      </c>
      <c r="C873" s="62">
        <f>VLOOKUP(B873,合并仓明细!$D$2:$F$74,3,0)</f>
        <v>69</v>
      </c>
      <c r="D873" t="s">
        <v>393</v>
      </c>
      <c r="E873" s="43" t="s">
        <v>278</v>
      </c>
      <c r="F873" t="s">
        <v>66</v>
      </c>
      <c r="G873">
        <v>410</v>
      </c>
      <c r="H873"/>
      <c r="I873" s="46"/>
      <c r="J873" s="37"/>
      <c r="K873" s="37"/>
      <c r="L873" s="37"/>
      <c r="M873" s="37"/>
      <c r="N873" s="38">
        <f t="shared" si="13"/>
        <v>0</v>
      </c>
    </row>
    <row r="874" spans="1:14" x14ac:dyDescent="0.25">
      <c r="A874" t="s">
        <v>111</v>
      </c>
      <c r="B874" s="43" t="s">
        <v>115</v>
      </c>
      <c r="C874" s="62">
        <f>VLOOKUP(B874,合并仓明细!$D$2:$F$74,3,0)</f>
        <v>69</v>
      </c>
      <c r="D874" t="s">
        <v>393</v>
      </c>
      <c r="E874" s="43" t="s">
        <v>279</v>
      </c>
      <c r="F874" t="s">
        <v>66</v>
      </c>
      <c r="G874">
        <v>1496.8016666499998</v>
      </c>
      <c r="H874">
        <v>1.4968016666499997</v>
      </c>
      <c r="L874" s="37">
        <f>IF(H874&gt;30,QUOTIENT(H874,30)*VLOOKUP(D874,'报价表-配送'!$B$84:$I$88,8,0),0)+IF(AND(MOD(H874,30)&gt;18,MOD(H874,30)&lt;=30),1,0)*VLOOKUP(D874,'报价表-配送'!$B$84:$I$88,8,0)+IF(AND(MOD(H874,30)&gt;8,MOD(H874,30)&lt;=18),1*VLOOKUP(D874,'报价表-配送'!$B$84:$I$88,7,0),0)+IF(AND(MOD(H874,30)&lt;=8,MOD(H874,30)&gt;2.5),1,0)*VLOOKUP(D874,'报价表-配送'!$B$84:$I$88,6,0)+IF(AND(MOD(H874,30)&lt;=2.5,MOD(H874,30)&gt;=1.5),1,0)*VLOOKUP(D874,'报价表-配送'!$B$84:$I$88,5,0)</f>
        <v>0</v>
      </c>
      <c r="M874" s="39">
        <f>IF(AND(MOD(H874,30)&lt;1.5,MOD(H874,30)&gt;=0.5),H874,0)*VLOOKUP(D874,'报价表-配送'!$B$84:$I$88,4,0)*1000+IF(AND(MOD(H874,30)&lt;0.5,MOD(H874,30)&gt;=0.02),H874,0)*VLOOKUP(D874,'报价表-配送'!$B$84:$I$88,3,0)*1000+IF(AND(MOD(H874,30)&lt;0.02),H874,0)*VLOOKUP(D874,'报价表-配送'!$B$84:$I$88,2,0)*1000</f>
        <v>0</v>
      </c>
      <c r="N874" s="38">
        <f t="shared" si="13"/>
        <v>0</v>
      </c>
    </row>
    <row r="875" spans="1:14" x14ac:dyDescent="0.25">
      <c r="A875" t="s">
        <v>111</v>
      </c>
      <c r="B875" s="45" t="s">
        <v>115</v>
      </c>
      <c r="C875" s="62">
        <f>VLOOKUP(B875,合并仓明细!$D$2:$F$74,3,0)</f>
        <v>69</v>
      </c>
      <c r="D875" t="s">
        <v>393</v>
      </c>
      <c r="E875" s="43" t="s">
        <v>347</v>
      </c>
      <c r="F875" t="s">
        <v>68</v>
      </c>
      <c r="G875">
        <v>1926.4563599999999</v>
      </c>
      <c r="H875">
        <v>7.5871107600000007</v>
      </c>
      <c r="I875" s="46">
        <f>ROUNDUP(H875/30,0)*VLOOKUP(D875,'报价表-配送'!$B$84:$I$88,8,0)</f>
        <v>0</v>
      </c>
      <c r="N875" s="38">
        <f t="shared" si="13"/>
        <v>0</v>
      </c>
    </row>
    <row r="876" spans="1:14" x14ac:dyDescent="0.25">
      <c r="A876" t="s">
        <v>111</v>
      </c>
      <c r="B876" s="44" t="s">
        <v>115</v>
      </c>
      <c r="C876" s="62">
        <f>VLOOKUP(B876,合并仓明细!$D$2:$F$74,3,0)</f>
        <v>69</v>
      </c>
      <c r="D876" t="s">
        <v>393</v>
      </c>
      <c r="E876" s="43" t="s">
        <v>347</v>
      </c>
      <c r="F876" t="s">
        <v>67</v>
      </c>
      <c r="G876">
        <v>5660.6544000000004</v>
      </c>
      <c r="H876"/>
      <c r="I876" s="46"/>
      <c r="J876" s="37"/>
      <c r="K876" s="37"/>
      <c r="L876" s="37"/>
      <c r="M876" s="37"/>
      <c r="N876" s="38">
        <f t="shared" si="13"/>
        <v>0</v>
      </c>
    </row>
    <row r="877" spans="1:14" x14ac:dyDescent="0.25">
      <c r="A877" t="s">
        <v>111</v>
      </c>
      <c r="B877" s="43" t="s">
        <v>115</v>
      </c>
      <c r="C877" s="62">
        <f>VLOOKUP(B877,合并仓明细!$D$2:$F$74,3,0)</f>
        <v>69</v>
      </c>
      <c r="D877" t="s">
        <v>393</v>
      </c>
      <c r="E877" s="43" t="s">
        <v>312</v>
      </c>
      <c r="F877" t="s">
        <v>66</v>
      </c>
      <c r="G877">
        <v>267.43249996000003</v>
      </c>
      <c r="H877">
        <v>0.26743249996000001</v>
      </c>
      <c r="L877" s="37">
        <f>IF(H877&gt;30,QUOTIENT(H877,30)*VLOOKUP(D877,'报价表-配送'!$B$84:$I$88,8,0),0)+IF(AND(MOD(H877,30)&gt;18,MOD(H877,30)&lt;=30),1,0)*VLOOKUP(D877,'报价表-配送'!$B$84:$I$88,8,0)+IF(AND(MOD(H877,30)&gt;8,MOD(H877,30)&lt;=18),1*VLOOKUP(D877,'报价表-配送'!$B$84:$I$88,7,0),0)+IF(AND(MOD(H877,30)&lt;=8,MOD(H877,30)&gt;2.5),1,0)*VLOOKUP(D877,'报价表-配送'!$B$84:$I$88,6,0)+IF(AND(MOD(H877,30)&lt;=2.5,MOD(H877,30)&gt;=1.5),1,0)*VLOOKUP(D877,'报价表-配送'!$B$84:$I$88,5,0)</f>
        <v>0</v>
      </c>
      <c r="M877" s="39">
        <f>IF(AND(MOD(H877,30)&lt;1.5,MOD(H877,30)&gt;=0.5),H877,0)*VLOOKUP(D877,'报价表-配送'!$B$84:$I$88,4,0)*1000+IF(AND(MOD(H877,30)&lt;0.5,MOD(H877,30)&gt;=0.02),H877,0)*VLOOKUP(D877,'报价表-配送'!$B$84:$I$88,3,0)*1000+IF(AND(MOD(H877,30)&lt;0.02),H877,0)*VLOOKUP(D877,'报价表-配送'!$B$84:$I$88,2,0)*1000</f>
        <v>0</v>
      </c>
      <c r="N877" s="38">
        <f t="shared" si="13"/>
        <v>0</v>
      </c>
    </row>
    <row r="878" spans="1:14" x14ac:dyDescent="0.25">
      <c r="A878" t="s">
        <v>111</v>
      </c>
      <c r="B878" s="43" t="s">
        <v>115</v>
      </c>
      <c r="C878" s="62">
        <f>VLOOKUP(B878,合并仓明细!$D$2:$F$74,3,0)</f>
        <v>69</v>
      </c>
      <c r="D878" t="s">
        <v>393</v>
      </c>
      <c r="E878" s="43" t="s">
        <v>282</v>
      </c>
      <c r="F878" t="s">
        <v>66</v>
      </c>
      <c r="G878">
        <v>236.4</v>
      </c>
      <c r="H878">
        <v>0.2364</v>
      </c>
      <c r="L878" s="37">
        <f>IF(H878&gt;30,QUOTIENT(H878,30)*VLOOKUP(D878,'报价表-配送'!$B$84:$I$88,8,0),0)+IF(AND(MOD(H878,30)&gt;18,MOD(H878,30)&lt;=30),1,0)*VLOOKUP(D878,'报价表-配送'!$B$84:$I$88,8,0)+IF(AND(MOD(H878,30)&gt;8,MOD(H878,30)&lt;=18),1*VLOOKUP(D878,'报价表-配送'!$B$84:$I$88,7,0),0)+IF(AND(MOD(H878,30)&lt;=8,MOD(H878,30)&gt;2.5),1,0)*VLOOKUP(D878,'报价表-配送'!$B$84:$I$88,6,0)+IF(AND(MOD(H878,30)&lt;=2.5,MOD(H878,30)&gt;=1.5),1,0)*VLOOKUP(D878,'报价表-配送'!$B$84:$I$88,5,0)</f>
        <v>0</v>
      </c>
      <c r="M878" s="39">
        <f>IF(AND(MOD(H878,30)&lt;1.5,MOD(H878,30)&gt;=0.5),H878,0)*VLOOKUP(D878,'报价表-配送'!$B$84:$I$88,4,0)*1000+IF(AND(MOD(H878,30)&lt;0.5,MOD(H878,30)&gt;=0.02),H878,0)*VLOOKUP(D878,'报价表-配送'!$B$84:$I$88,3,0)*1000+IF(AND(MOD(H878,30)&lt;0.02),H878,0)*VLOOKUP(D878,'报价表-配送'!$B$84:$I$88,2,0)*1000</f>
        <v>0</v>
      </c>
      <c r="N878" s="38">
        <f t="shared" si="13"/>
        <v>0</v>
      </c>
    </row>
    <row r="879" spans="1:14" x14ac:dyDescent="0.25">
      <c r="A879" t="s">
        <v>111</v>
      </c>
      <c r="B879" s="43" t="s">
        <v>115</v>
      </c>
      <c r="C879" s="62">
        <f>VLOOKUP(B879,合并仓明细!$D$2:$F$74,3,0)</f>
        <v>69</v>
      </c>
      <c r="D879" t="s">
        <v>393</v>
      </c>
      <c r="E879" s="43" t="s">
        <v>284</v>
      </c>
      <c r="F879" t="s">
        <v>66</v>
      </c>
      <c r="G879">
        <v>652.53</v>
      </c>
      <c r="H879">
        <v>0.65252999999999994</v>
      </c>
      <c r="L879" s="37">
        <f>IF(H879&gt;30,QUOTIENT(H879,30)*VLOOKUP(D879,'报价表-配送'!$B$84:$I$88,8,0),0)+IF(AND(MOD(H879,30)&gt;18,MOD(H879,30)&lt;=30),1,0)*VLOOKUP(D879,'报价表-配送'!$B$84:$I$88,8,0)+IF(AND(MOD(H879,30)&gt;8,MOD(H879,30)&lt;=18),1*VLOOKUP(D879,'报价表-配送'!$B$84:$I$88,7,0),0)+IF(AND(MOD(H879,30)&lt;=8,MOD(H879,30)&gt;2.5),1,0)*VLOOKUP(D879,'报价表-配送'!$B$84:$I$88,6,0)+IF(AND(MOD(H879,30)&lt;=2.5,MOD(H879,30)&gt;=1.5),1,0)*VLOOKUP(D879,'报价表-配送'!$B$84:$I$88,5,0)</f>
        <v>0</v>
      </c>
      <c r="M879" s="39">
        <f>IF(AND(MOD(H879,30)&lt;1.5,MOD(H879,30)&gt;=0.5),H879,0)*VLOOKUP(D879,'报价表-配送'!$B$84:$I$88,4,0)*1000+IF(AND(MOD(H879,30)&lt;0.5,MOD(H879,30)&gt;=0.02),H879,0)*VLOOKUP(D879,'报价表-配送'!$B$84:$I$88,3,0)*1000+IF(AND(MOD(H879,30)&lt;0.02),H879,0)*VLOOKUP(D879,'报价表-配送'!$B$84:$I$88,2,0)*1000</f>
        <v>0</v>
      </c>
      <c r="N879" s="38">
        <f t="shared" si="13"/>
        <v>0</v>
      </c>
    </row>
    <row r="880" spans="1:14" x14ac:dyDescent="0.25">
      <c r="A880" t="s">
        <v>111</v>
      </c>
      <c r="B880" s="43" t="s">
        <v>115</v>
      </c>
      <c r="C880" s="62">
        <f>VLOOKUP(B880,合并仓明细!$D$2:$F$74,3,0)</f>
        <v>69</v>
      </c>
      <c r="D880" t="s">
        <v>393</v>
      </c>
      <c r="E880" s="43" t="s">
        <v>287</v>
      </c>
      <c r="F880" t="s">
        <v>67</v>
      </c>
      <c r="G880">
        <v>5717.7104999999992</v>
      </c>
      <c r="H880">
        <v>5.717710499999999</v>
      </c>
      <c r="I880" s="38">
        <f>IF(H880&gt;30,QUOTIENT(H880,30)*VLOOKUP(D880,'报价表-配送'!$B$84:$I$88,8,0),0)+IF(AND(MOD(H880,30)&gt;18,MOD(H880,30)&lt;=30),1,0)*VLOOKUP(D880,'报价表-配送'!$B$84:$I$88,8,0)</f>
        <v>0</v>
      </c>
      <c r="J880" s="38">
        <f>IF(AND(MOD(H880,30)&gt;8,MOD(H880,30)&lt;=18),1*VLOOKUP(D880,'报价表-配送'!$B$84:$I$88,7,0),0)</f>
        <v>0</v>
      </c>
      <c r="K880" s="38">
        <f>IF(AND(MOD(H880,30)&lt;=8,MOD(H880,30)&gt;0),1,0)*VLOOKUP(D880,'报价表-配送'!$B$84:$I$88,6,0)</f>
        <v>0</v>
      </c>
      <c r="L880" s="37"/>
      <c r="M880" s="37"/>
      <c r="N880" s="38">
        <f t="shared" si="13"/>
        <v>0</v>
      </c>
    </row>
    <row r="881" spans="1:14" x14ac:dyDescent="0.25">
      <c r="A881" t="s">
        <v>111</v>
      </c>
      <c r="B881" s="43" t="s">
        <v>115</v>
      </c>
      <c r="C881" s="62">
        <f>VLOOKUP(B881,合并仓明细!$D$2:$F$74,3,0)</f>
        <v>69</v>
      </c>
      <c r="D881" t="s">
        <v>393</v>
      </c>
      <c r="E881" s="43" t="s">
        <v>288</v>
      </c>
      <c r="F881" t="s">
        <v>66</v>
      </c>
      <c r="G881">
        <v>499.21999999999997</v>
      </c>
      <c r="H881">
        <v>0.49922</v>
      </c>
      <c r="L881" s="37">
        <f>IF(H881&gt;30,QUOTIENT(H881,30)*VLOOKUP(D881,'报价表-配送'!$B$84:$I$88,8,0),0)+IF(AND(MOD(H881,30)&gt;18,MOD(H881,30)&lt;=30),1,0)*VLOOKUP(D881,'报价表-配送'!$B$84:$I$88,8,0)+IF(AND(MOD(H881,30)&gt;8,MOD(H881,30)&lt;=18),1*VLOOKUP(D881,'报价表-配送'!$B$84:$I$88,7,0),0)+IF(AND(MOD(H881,30)&lt;=8,MOD(H881,30)&gt;2.5),1,0)*VLOOKUP(D881,'报价表-配送'!$B$84:$I$88,6,0)+IF(AND(MOD(H881,30)&lt;=2.5,MOD(H881,30)&gt;=1.5),1,0)*VLOOKUP(D881,'报价表-配送'!$B$84:$I$88,5,0)</f>
        <v>0</v>
      </c>
      <c r="M881" s="39">
        <f>IF(AND(MOD(H881,30)&lt;1.5,MOD(H881,30)&gt;=0.5),H881,0)*VLOOKUP(D881,'报价表-配送'!$B$84:$I$88,4,0)*1000+IF(AND(MOD(H881,30)&lt;0.5,MOD(H881,30)&gt;=0.02),H881,0)*VLOOKUP(D881,'报价表-配送'!$B$84:$I$88,3,0)*1000+IF(AND(MOD(H881,30)&lt;0.02),H881,0)*VLOOKUP(D881,'报价表-配送'!$B$84:$I$88,2,0)*1000</f>
        <v>0</v>
      </c>
      <c r="N881" s="38">
        <f t="shared" si="13"/>
        <v>0</v>
      </c>
    </row>
    <row r="882" spans="1:14" x14ac:dyDescent="0.25">
      <c r="A882" t="s">
        <v>111</v>
      </c>
      <c r="B882" s="43" t="s">
        <v>115</v>
      </c>
      <c r="C882" s="62">
        <f>VLOOKUP(B882,合并仓明细!$D$2:$F$74,3,0)</f>
        <v>69</v>
      </c>
      <c r="D882" t="s">
        <v>393</v>
      </c>
      <c r="E882" s="43" t="s">
        <v>247</v>
      </c>
      <c r="F882" t="s">
        <v>68</v>
      </c>
      <c r="G882">
        <v>246.28800000000001</v>
      </c>
      <c r="H882">
        <v>2.1847884</v>
      </c>
      <c r="I882" s="46">
        <f>ROUNDUP(H882/30,0)*VLOOKUP(D882,'报价表-配送'!$B$84:$I$88,8,0)</f>
        <v>0</v>
      </c>
      <c r="N882" s="38">
        <f t="shared" si="13"/>
        <v>0</v>
      </c>
    </row>
    <row r="883" spans="1:14" x14ac:dyDescent="0.25">
      <c r="A883" t="s">
        <v>111</v>
      </c>
      <c r="B883" s="43" t="s">
        <v>115</v>
      </c>
      <c r="C883" s="62">
        <f>VLOOKUP(B883,合并仓明细!$D$2:$F$74,3,0)</f>
        <v>69</v>
      </c>
      <c r="D883" t="s">
        <v>393</v>
      </c>
      <c r="E883" s="43" t="s">
        <v>247</v>
      </c>
      <c r="F883" t="s">
        <v>67</v>
      </c>
      <c r="G883">
        <v>1938.5003999999999</v>
      </c>
      <c r="H883"/>
      <c r="L883" s="37"/>
      <c r="M883" s="39"/>
      <c r="N883" s="38">
        <f t="shared" si="13"/>
        <v>0</v>
      </c>
    </row>
    <row r="884" spans="1:14" x14ac:dyDescent="0.25">
      <c r="A884" t="s">
        <v>111</v>
      </c>
      <c r="B884" s="43" t="s">
        <v>115</v>
      </c>
      <c r="C884" s="62">
        <f>VLOOKUP(B884,合并仓明细!$D$2:$F$74,3,0)</f>
        <v>69</v>
      </c>
      <c r="D884" t="s">
        <v>393</v>
      </c>
      <c r="E884" s="43" t="s">
        <v>290</v>
      </c>
      <c r="F884" t="s">
        <v>67</v>
      </c>
      <c r="G884">
        <v>4100.3087580000001</v>
      </c>
      <c r="H884">
        <v>5.5215987579000005</v>
      </c>
      <c r="I884" s="38">
        <f>IF(H884&gt;30,QUOTIENT(H884,30)*VLOOKUP(D884,'报价表-配送'!$B$84:$I$88,8,0),0)+IF(AND(MOD(H884,30)&gt;18,MOD(H884,30)&lt;=30),1,0)*VLOOKUP(D884,'报价表-配送'!$B$84:$I$88,8,0)</f>
        <v>0</v>
      </c>
      <c r="J884" s="38">
        <f>IF(AND(MOD(H884,30)&gt;8,MOD(H884,30)&lt;=18),1*VLOOKUP(D884,'报价表-配送'!$B$84:$I$88,7,0),0)</f>
        <v>0</v>
      </c>
      <c r="K884" s="38">
        <f>IF(AND(MOD(H884,30)&lt;=8,MOD(H884,30)&gt;0),1,0)*VLOOKUP(D884,'报价表-配送'!$B$84:$I$88,6,0)</f>
        <v>0</v>
      </c>
      <c r="L884" s="37"/>
      <c r="M884" s="39"/>
      <c r="N884" s="38">
        <f t="shared" si="13"/>
        <v>0</v>
      </c>
    </row>
    <row r="885" spans="1:14" x14ac:dyDescent="0.25">
      <c r="A885" t="s">
        <v>111</v>
      </c>
      <c r="B885" s="43" t="s">
        <v>115</v>
      </c>
      <c r="C885" s="62">
        <f>VLOOKUP(B885,合并仓明细!$D$2:$F$74,3,0)</f>
        <v>69</v>
      </c>
      <c r="D885" t="s">
        <v>393</v>
      </c>
      <c r="E885" s="43" t="s">
        <v>290</v>
      </c>
      <c r="F885" t="s">
        <v>66</v>
      </c>
      <c r="G885">
        <v>1421.2899998999999</v>
      </c>
      <c r="H885"/>
      <c r="I885" s="38"/>
      <c r="J885" s="38"/>
      <c r="K885" s="38"/>
      <c r="L885" s="37"/>
      <c r="M885" s="37"/>
      <c r="N885" s="38">
        <f t="shared" si="13"/>
        <v>0</v>
      </c>
    </row>
    <row r="886" spans="1:14" x14ac:dyDescent="0.25">
      <c r="A886" t="s">
        <v>111</v>
      </c>
      <c r="B886" s="43" t="s">
        <v>115</v>
      </c>
      <c r="C886" s="62">
        <f>VLOOKUP(B886,合并仓明细!$D$2:$F$74,3,0)</f>
        <v>69</v>
      </c>
      <c r="D886" t="s">
        <v>393</v>
      </c>
      <c r="E886" s="43" t="s">
        <v>340</v>
      </c>
      <c r="F886" t="s">
        <v>68</v>
      </c>
      <c r="G886">
        <v>1693.9679999999998</v>
      </c>
      <c r="H886">
        <v>2.9970483999999997</v>
      </c>
      <c r="I886" s="46">
        <f>ROUNDUP(H886/30,0)*VLOOKUP(D886,'报价表-配送'!$B$84:$I$88,8,0)</f>
        <v>0</v>
      </c>
      <c r="N886" s="38">
        <f t="shared" si="13"/>
        <v>0</v>
      </c>
    </row>
    <row r="887" spans="1:14" x14ac:dyDescent="0.25">
      <c r="A887" t="s">
        <v>111</v>
      </c>
      <c r="B887" s="43" t="s">
        <v>115</v>
      </c>
      <c r="C887" s="62">
        <f>VLOOKUP(B887,合并仓明细!$D$2:$F$74,3,0)</f>
        <v>69</v>
      </c>
      <c r="D887" t="s">
        <v>393</v>
      </c>
      <c r="E887" s="43" t="s">
        <v>340</v>
      </c>
      <c r="F887" t="s">
        <v>67</v>
      </c>
      <c r="G887">
        <v>1303.0804000000001</v>
      </c>
      <c r="H887"/>
      <c r="L887" s="37"/>
      <c r="M887" s="39"/>
      <c r="N887" s="38">
        <f t="shared" si="13"/>
        <v>0</v>
      </c>
    </row>
    <row r="888" spans="1:14" x14ac:dyDescent="0.25">
      <c r="A888" t="s">
        <v>111</v>
      </c>
      <c r="B888" s="43" t="s">
        <v>115</v>
      </c>
      <c r="C888" s="62">
        <f>VLOOKUP(B888,合并仓明细!$D$2:$F$74,3,0)</f>
        <v>69</v>
      </c>
      <c r="D888" t="s">
        <v>393</v>
      </c>
      <c r="E888" s="43" t="s">
        <v>353</v>
      </c>
      <c r="F888" t="s">
        <v>66</v>
      </c>
      <c r="G888">
        <v>1413.9824998399999</v>
      </c>
      <c r="H888">
        <v>1.4139824998399999</v>
      </c>
      <c r="L888" s="37">
        <f>IF(H888&gt;30,QUOTIENT(H888,30)*VLOOKUP(D888,'报价表-配送'!$B$84:$I$88,8,0),0)+IF(AND(MOD(H888,30)&gt;18,MOD(H888,30)&lt;=30),1,0)*VLOOKUP(D888,'报价表-配送'!$B$84:$I$88,8,0)+IF(AND(MOD(H888,30)&gt;8,MOD(H888,30)&lt;=18),1*VLOOKUP(D888,'报价表-配送'!$B$84:$I$88,7,0),0)+IF(AND(MOD(H888,30)&lt;=8,MOD(H888,30)&gt;2.5),1,0)*VLOOKUP(D888,'报价表-配送'!$B$84:$I$88,6,0)+IF(AND(MOD(H888,30)&lt;=2.5,MOD(H888,30)&gt;=1.5),1,0)*VLOOKUP(D888,'报价表-配送'!$B$84:$I$88,5,0)</f>
        <v>0</v>
      </c>
      <c r="M888" s="39">
        <f>IF(AND(MOD(H888,30)&lt;1.5,MOD(H888,30)&gt;=0.5),H888,0)*VLOOKUP(D888,'报价表-配送'!$B$84:$I$88,4,0)*1000+IF(AND(MOD(H888,30)&lt;0.5,MOD(H888,30)&gt;=0.02),H888,0)*VLOOKUP(D888,'报价表-配送'!$B$84:$I$88,3,0)*1000+IF(AND(MOD(H888,30)&lt;0.02),H888,0)*VLOOKUP(D888,'报价表-配送'!$B$84:$I$88,2,0)*1000</f>
        <v>0</v>
      </c>
      <c r="N888" s="38">
        <f t="shared" si="13"/>
        <v>0</v>
      </c>
    </row>
    <row r="889" spans="1:14" x14ac:dyDescent="0.25">
      <c r="A889" t="s">
        <v>111</v>
      </c>
      <c r="B889" s="43" t="s">
        <v>115</v>
      </c>
      <c r="C889" s="62">
        <f>VLOOKUP(B889,合并仓明细!$D$2:$F$74,3,0)</f>
        <v>69</v>
      </c>
      <c r="D889" t="s">
        <v>393</v>
      </c>
      <c r="E889" s="43" t="s">
        <v>325</v>
      </c>
      <c r="F889" t="s">
        <v>68</v>
      </c>
      <c r="G889">
        <v>1829.3843999999999</v>
      </c>
      <c r="H889">
        <v>11.448436499999998</v>
      </c>
      <c r="I889" s="46">
        <f>ROUNDUP(H889/30,0)*VLOOKUP(D889,'报价表-配送'!$B$84:$I$88,8,0)</f>
        <v>0</v>
      </c>
      <c r="L889" s="37"/>
      <c r="M889" s="39"/>
      <c r="N889" s="38">
        <f t="shared" si="13"/>
        <v>0</v>
      </c>
    </row>
    <row r="890" spans="1:14" x14ac:dyDescent="0.25">
      <c r="A890" t="s">
        <v>111</v>
      </c>
      <c r="B890" s="43" t="s">
        <v>115</v>
      </c>
      <c r="C890" s="62">
        <f>VLOOKUP(B890,合并仓明细!$D$2:$F$74,3,0)</f>
        <v>69</v>
      </c>
      <c r="D890" t="s">
        <v>393</v>
      </c>
      <c r="E890" s="43" t="s">
        <v>325</v>
      </c>
      <c r="F890" t="s">
        <v>67</v>
      </c>
      <c r="G890">
        <v>9505.6520999999993</v>
      </c>
      <c r="H890"/>
      <c r="I890" s="38"/>
      <c r="J890" s="38"/>
      <c r="K890" s="38"/>
      <c r="L890" s="37"/>
      <c r="M890" s="37"/>
      <c r="N890" s="38">
        <f t="shared" si="13"/>
        <v>0</v>
      </c>
    </row>
    <row r="891" spans="1:14" x14ac:dyDescent="0.25">
      <c r="A891" t="s">
        <v>111</v>
      </c>
      <c r="B891" s="43" t="s">
        <v>115</v>
      </c>
      <c r="C891" s="62">
        <f>VLOOKUP(B891,合并仓明细!$D$2:$F$74,3,0)</f>
        <v>69</v>
      </c>
      <c r="D891" t="s">
        <v>393</v>
      </c>
      <c r="E891" s="43" t="s">
        <v>325</v>
      </c>
      <c r="F891" t="s">
        <v>66</v>
      </c>
      <c r="G891">
        <v>113.4</v>
      </c>
      <c r="H891"/>
      <c r="N891" s="38">
        <f t="shared" si="13"/>
        <v>0</v>
      </c>
    </row>
    <row r="892" spans="1:14" x14ac:dyDescent="0.25">
      <c r="A892" t="s">
        <v>111</v>
      </c>
      <c r="B892" s="43" t="s">
        <v>115</v>
      </c>
      <c r="C892" s="62">
        <f>VLOOKUP(B892,合并仓明细!$D$2:$F$74,3,0)</f>
        <v>69</v>
      </c>
      <c r="D892" t="s">
        <v>393</v>
      </c>
      <c r="E892" s="43" t="s">
        <v>298</v>
      </c>
      <c r="F892" t="s">
        <v>66</v>
      </c>
      <c r="G892">
        <v>144.5</v>
      </c>
      <c r="H892">
        <v>0.14449999999999999</v>
      </c>
      <c r="I892" s="46"/>
      <c r="J892" s="37"/>
      <c r="K892" s="37"/>
      <c r="L892" s="37">
        <f>IF(H892&gt;30,QUOTIENT(H892,30)*VLOOKUP(D892,'报价表-配送'!$B$84:$I$88,8,0),0)+IF(AND(MOD(H892,30)&gt;18,MOD(H892,30)&lt;=30),1,0)*VLOOKUP(D892,'报价表-配送'!$B$84:$I$88,8,0)+IF(AND(MOD(H892,30)&gt;8,MOD(H892,30)&lt;=18),1*VLOOKUP(D892,'报价表-配送'!$B$84:$I$88,7,0),0)+IF(AND(MOD(H892,30)&lt;=8,MOD(H892,30)&gt;2.5),1,0)*VLOOKUP(D892,'报价表-配送'!$B$84:$I$88,6,0)+IF(AND(MOD(H892,30)&lt;=2.5,MOD(H892,30)&gt;=1.5),1,0)*VLOOKUP(D892,'报价表-配送'!$B$84:$I$88,5,0)</f>
        <v>0</v>
      </c>
      <c r="M892" s="39">
        <f>IF(AND(MOD(H892,30)&lt;1.5,MOD(H892,30)&gt;=0.5),H892,0)*VLOOKUP(D892,'报价表-配送'!$B$84:$I$88,4,0)*1000+IF(AND(MOD(H892,30)&lt;0.5,MOD(H892,30)&gt;=0.02),H892,0)*VLOOKUP(D892,'报价表-配送'!$B$84:$I$88,3,0)*1000+IF(AND(MOD(H892,30)&lt;0.02),H892,0)*VLOOKUP(D892,'报价表-配送'!$B$84:$I$88,2,0)*1000</f>
        <v>0</v>
      </c>
      <c r="N892" s="38">
        <f t="shared" si="13"/>
        <v>0</v>
      </c>
    </row>
    <row r="893" spans="1:14" x14ac:dyDescent="0.25">
      <c r="A893" t="s">
        <v>111</v>
      </c>
      <c r="B893" s="43" t="s">
        <v>115</v>
      </c>
      <c r="C893" s="62">
        <f>VLOOKUP(B893,合并仓明细!$D$2:$F$74,3,0)</f>
        <v>69</v>
      </c>
      <c r="D893" t="s">
        <v>393</v>
      </c>
      <c r="E893" s="43" t="s">
        <v>357</v>
      </c>
      <c r="F893" t="s">
        <v>67</v>
      </c>
      <c r="G893">
        <v>4791.8337599999995</v>
      </c>
      <c r="H893">
        <v>4.7918337599999994</v>
      </c>
      <c r="I893" s="38">
        <f>IF(H893&gt;30,QUOTIENT(H893,30)*VLOOKUP(D893,'报价表-配送'!$B$84:$I$88,8,0),0)+IF(AND(MOD(H893,30)&gt;18,MOD(H893,30)&lt;=30),1,0)*VLOOKUP(D893,'报价表-配送'!$B$84:$I$88,8,0)</f>
        <v>0</v>
      </c>
      <c r="J893" s="38">
        <f>IF(AND(MOD(H893,30)&gt;8,MOD(H893,30)&lt;=18),1*VLOOKUP(D893,'报价表-配送'!$B$84:$I$88,7,0),0)</f>
        <v>0</v>
      </c>
      <c r="K893" s="38">
        <f>IF(AND(MOD(H893,30)&lt;=8,MOD(H893,30)&gt;0),1,0)*VLOOKUP(D893,'报价表-配送'!$B$84:$I$88,6,0)</f>
        <v>0</v>
      </c>
      <c r="N893" s="38">
        <f t="shared" si="13"/>
        <v>0</v>
      </c>
    </row>
    <row r="894" spans="1:14" x14ac:dyDescent="0.25">
      <c r="A894" t="s">
        <v>111</v>
      </c>
      <c r="B894" s="43" t="s">
        <v>115</v>
      </c>
      <c r="C894" s="62">
        <f>VLOOKUP(B894,合并仓明细!$D$2:$F$74,3,0)</f>
        <v>69</v>
      </c>
      <c r="D894" t="s">
        <v>393</v>
      </c>
      <c r="E894" s="43" t="s">
        <v>320</v>
      </c>
      <c r="F894" t="s">
        <v>66</v>
      </c>
      <c r="G894">
        <v>279.68599999999998</v>
      </c>
      <c r="H894">
        <v>0.27968599999999999</v>
      </c>
      <c r="L894" s="37">
        <f>IF(H894&gt;30,QUOTIENT(H894,30)*VLOOKUP(D894,'报价表-配送'!$B$84:$I$88,8,0),0)+IF(AND(MOD(H894,30)&gt;18,MOD(H894,30)&lt;=30),1,0)*VLOOKUP(D894,'报价表-配送'!$B$84:$I$88,8,0)+IF(AND(MOD(H894,30)&gt;8,MOD(H894,30)&lt;=18),1*VLOOKUP(D894,'报价表-配送'!$B$84:$I$88,7,0),0)+IF(AND(MOD(H894,30)&lt;=8,MOD(H894,30)&gt;2.5),1,0)*VLOOKUP(D894,'报价表-配送'!$B$84:$I$88,6,0)+IF(AND(MOD(H894,30)&lt;=2.5,MOD(H894,30)&gt;=1.5),1,0)*VLOOKUP(D894,'报价表-配送'!$B$84:$I$88,5,0)</f>
        <v>0</v>
      </c>
      <c r="M894" s="39">
        <f>IF(AND(MOD(H894,30)&lt;1.5,MOD(H894,30)&gt;=0.5),H894,0)*VLOOKUP(D894,'报价表-配送'!$B$84:$I$88,4,0)*1000+IF(AND(MOD(H894,30)&lt;0.5,MOD(H894,30)&gt;=0.02),H894,0)*VLOOKUP(D894,'报价表-配送'!$B$84:$I$88,3,0)*1000+IF(AND(MOD(H894,30)&lt;0.02),H894,0)*VLOOKUP(D894,'报价表-配送'!$B$84:$I$88,2,0)*1000</f>
        <v>0</v>
      </c>
      <c r="N894" s="38">
        <f t="shared" si="13"/>
        <v>0</v>
      </c>
    </row>
    <row r="895" spans="1:14" x14ac:dyDescent="0.25">
      <c r="A895" t="s">
        <v>111</v>
      </c>
      <c r="B895" s="43" t="s">
        <v>115</v>
      </c>
      <c r="C895" s="62">
        <f>VLOOKUP(B895,合并仓明细!$D$2:$F$74,3,0)</f>
        <v>69</v>
      </c>
      <c r="D895" t="s">
        <v>393</v>
      </c>
      <c r="E895" s="43" t="s">
        <v>355</v>
      </c>
      <c r="F895" t="s">
        <v>68</v>
      </c>
      <c r="G895">
        <v>1416.9123599999998</v>
      </c>
      <c r="H895">
        <v>4.0363369599999999</v>
      </c>
      <c r="I895" s="46">
        <f>ROUNDUP(H895/30,0)*VLOOKUP(D895,'报价表-配送'!$B$84:$I$88,8,0)</f>
        <v>0</v>
      </c>
      <c r="L895" s="37"/>
      <c r="M895" s="39"/>
      <c r="N895" s="38">
        <f t="shared" si="13"/>
        <v>0</v>
      </c>
    </row>
    <row r="896" spans="1:14" x14ac:dyDescent="0.25">
      <c r="A896" t="s">
        <v>111</v>
      </c>
      <c r="B896" s="43" t="s">
        <v>115</v>
      </c>
      <c r="C896" s="62">
        <f>VLOOKUP(B896,合并仓明细!$D$2:$F$74,3,0)</f>
        <v>69</v>
      </c>
      <c r="D896" t="s">
        <v>393</v>
      </c>
      <c r="E896" s="43" t="s">
        <v>355</v>
      </c>
      <c r="F896" t="s">
        <v>67</v>
      </c>
      <c r="G896">
        <v>2512.9956000000002</v>
      </c>
      <c r="H896"/>
      <c r="I896" s="38"/>
      <c r="J896" s="38"/>
      <c r="K896" s="38"/>
      <c r="L896" s="37"/>
      <c r="M896" s="37"/>
      <c r="N896" s="38">
        <f t="shared" si="13"/>
        <v>0</v>
      </c>
    </row>
    <row r="897" spans="1:14" x14ac:dyDescent="0.25">
      <c r="A897" t="s">
        <v>111</v>
      </c>
      <c r="B897" s="43" t="s">
        <v>115</v>
      </c>
      <c r="C897" s="62">
        <f>VLOOKUP(B897,合并仓明细!$D$2:$F$74,3,0)</f>
        <v>69</v>
      </c>
      <c r="D897" t="s">
        <v>393</v>
      </c>
      <c r="E897" s="43" t="s">
        <v>355</v>
      </c>
      <c r="F897" t="s">
        <v>66</v>
      </c>
      <c r="G897">
        <v>106.429</v>
      </c>
      <c r="H897"/>
      <c r="N897" s="38">
        <f t="shared" si="13"/>
        <v>0</v>
      </c>
    </row>
    <row r="898" spans="1:14" x14ac:dyDescent="0.25">
      <c r="A898" t="s">
        <v>111</v>
      </c>
      <c r="B898" s="43" t="s">
        <v>115</v>
      </c>
      <c r="C898" s="62">
        <f>VLOOKUP(B898,合并仓明细!$D$2:$F$74,3,0)</f>
        <v>69</v>
      </c>
      <c r="D898" t="s">
        <v>393</v>
      </c>
      <c r="E898" s="43" t="s">
        <v>330</v>
      </c>
      <c r="F898" t="s">
        <v>66</v>
      </c>
      <c r="G898">
        <v>772.93999979</v>
      </c>
      <c r="H898">
        <v>0.77293999979000005</v>
      </c>
      <c r="I898" s="46"/>
      <c r="J898" s="37"/>
      <c r="K898" s="37"/>
      <c r="L898" s="37">
        <f>IF(H898&gt;30,QUOTIENT(H898,30)*VLOOKUP(D898,'报价表-配送'!$B$84:$I$88,8,0),0)+IF(AND(MOD(H898,30)&gt;18,MOD(H898,30)&lt;=30),1,0)*VLOOKUP(D898,'报价表-配送'!$B$84:$I$88,8,0)+IF(AND(MOD(H898,30)&gt;8,MOD(H898,30)&lt;=18),1*VLOOKUP(D898,'报价表-配送'!$B$84:$I$88,7,0),0)+IF(AND(MOD(H898,30)&lt;=8,MOD(H898,30)&gt;2.5),1,0)*VLOOKUP(D898,'报价表-配送'!$B$84:$I$88,6,0)+IF(AND(MOD(H898,30)&lt;=2.5,MOD(H898,30)&gt;=1.5),1,0)*VLOOKUP(D898,'报价表-配送'!$B$84:$I$88,5,0)</f>
        <v>0</v>
      </c>
      <c r="M898" s="39">
        <f>IF(AND(MOD(H898,30)&lt;1.5,MOD(H898,30)&gt;=0.5),H898,0)*VLOOKUP(D898,'报价表-配送'!$B$84:$I$88,4,0)*1000+IF(AND(MOD(H898,30)&lt;0.5,MOD(H898,30)&gt;=0.02),H898,0)*VLOOKUP(D898,'报价表-配送'!$B$84:$I$88,3,0)*1000+IF(AND(MOD(H898,30)&lt;0.02),H898,0)*VLOOKUP(D898,'报价表-配送'!$B$84:$I$88,2,0)*1000</f>
        <v>0</v>
      </c>
      <c r="N898" s="38">
        <f t="shared" si="13"/>
        <v>0</v>
      </c>
    </row>
    <row r="899" spans="1:14" x14ac:dyDescent="0.25">
      <c r="A899" t="s">
        <v>111</v>
      </c>
      <c r="B899" s="43" t="s">
        <v>115</v>
      </c>
      <c r="C899" s="62">
        <f>VLOOKUP(B899,合并仓明细!$D$2:$F$74,3,0)</f>
        <v>69</v>
      </c>
      <c r="D899" t="s">
        <v>393</v>
      </c>
      <c r="E899" s="43" t="s">
        <v>252</v>
      </c>
      <c r="F899" t="s">
        <v>67</v>
      </c>
      <c r="G899">
        <v>5190.0146640000003</v>
      </c>
      <c r="H899">
        <v>5.2193896640000004</v>
      </c>
      <c r="I899" s="38">
        <f>IF(H899&gt;30,QUOTIENT(H899,30)*VLOOKUP(D899,'报价表-配送'!$B$84:$I$88,8,0),0)+IF(AND(MOD(H899,30)&gt;18,MOD(H899,30)&lt;=30),1,0)*VLOOKUP(D899,'报价表-配送'!$B$84:$I$88,8,0)</f>
        <v>0</v>
      </c>
      <c r="J899" s="38">
        <f>IF(AND(MOD(H899,30)&gt;8,MOD(H899,30)&lt;=18),1*VLOOKUP(D899,'报价表-配送'!$B$84:$I$88,7,0),0)</f>
        <v>0</v>
      </c>
      <c r="K899" s="38">
        <f>IF(AND(MOD(H899,30)&lt;=8,MOD(H899,30)&gt;0),1,0)*VLOOKUP(D899,'报价表-配送'!$B$84:$I$88,6,0)</f>
        <v>0</v>
      </c>
      <c r="N899" s="38">
        <f t="shared" si="13"/>
        <v>0</v>
      </c>
    </row>
    <row r="900" spans="1:14" x14ac:dyDescent="0.25">
      <c r="A900" t="s">
        <v>111</v>
      </c>
      <c r="B900" s="43" t="s">
        <v>115</v>
      </c>
      <c r="C900" s="62">
        <f>VLOOKUP(B900,合并仓明细!$D$2:$F$74,3,0)</f>
        <v>69</v>
      </c>
      <c r="D900" t="s">
        <v>393</v>
      </c>
      <c r="E900" s="43" t="s">
        <v>252</v>
      </c>
      <c r="F900" t="s">
        <v>66</v>
      </c>
      <c r="G900">
        <v>29.375</v>
      </c>
      <c r="H900"/>
      <c r="N900" s="38">
        <f t="shared" si="13"/>
        <v>0</v>
      </c>
    </row>
    <row r="901" spans="1:14" x14ac:dyDescent="0.25">
      <c r="A901" t="s">
        <v>111</v>
      </c>
      <c r="B901" s="43" t="s">
        <v>115</v>
      </c>
      <c r="C901" s="62">
        <f>VLOOKUP(B901,合并仓明细!$D$2:$F$74,3,0)</f>
        <v>69</v>
      </c>
      <c r="D901" t="s">
        <v>393</v>
      </c>
      <c r="E901" s="43" t="s">
        <v>254</v>
      </c>
      <c r="F901" t="s">
        <v>68</v>
      </c>
      <c r="G901">
        <v>1303.1148000000001</v>
      </c>
      <c r="H901">
        <v>9.4586957779999992</v>
      </c>
      <c r="I901" s="46">
        <f>ROUNDUP(H901/30,0)*VLOOKUP(D901,'报价表-配送'!$B$84:$I$88,8,0)</f>
        <v>0</v>
      </c>
      <c r="L901" s="37"/>
      <c r="M901" s="39"/>
      <c r="N901" s="38">
        <f t="shared" si="13"/>
        <v>0</v>
      </c>
    </row>
    <row r="902" spans="1:14" x14ac:dyDescent="0.25">
      <c r="A902" t="s">
        <v>111</v>
      </c>
      <c r="B902" s="43" t="s">
        <v>115</v>
      </c>
      <c r="C902" s="62">
        <f>VLOOKUP(B902,合并仓明细!$D$2:$F$74,3,0)</f>
        <v>69</v>
      </c>
      <c r="D902" t="s">
        <v>393</v>
      </c>
      <c r="E902" s="43" t="s">
        <v>254</v>
      </c>
      <c r="F902" t="s">
        <v>67</v>
      </c>
      <c r="G902">
        <v>7706.6529780000001</v>
      </c>
      <c r="H902"/>
      <c r="I902" s="46"/>
      <c r="J902" s="37"/>
      <c r="K902" s="37"/>
      <c r="L902" s="37"/>
      <c r="M902" s="37"/>
      <c r="N902" s="38">
        <f t="shared" si="13"/>
        <v>0</v>
      </c>
    </row>
    <row r="903" spans="1:14" x14ac:dyDescent="0.25">
      <c r="A903" t="s">
        <v>111</v>
      </c>
      <c r="B903" s="43" t="s">
        <v>115</v>
      </c>
      <c r="C903" s="62">
        <f>VLOOKUP(B903,合并仓明细!$D$2:$F$74,3,0)</f>
        <v>69</v>
      </c>
      <c r="D903" t="s">
        <v>393</v>
      </c>
      <c r="E903" s="43" t="s">
        <v>254</v>
      </c>
      <c r="F903" t="s">
        <v>66</v>
      </c>
      <c r="G903">
        <v>448.928</v>
      </c>
      <c r="H903"/>
      <c r="N903" s="38">
        <f t="shared" si="13"/>
        <v>0</v>
      </c>
    </row>
    <row r="904" spans="1:14" x14ac:dyDescent="0.25">
      <c r="A904" t="s">
        <v>111</v>
      </c>
      <c r="B904" s="43" t="s">
        <v>116</v>
      </c>
      <c r="C904" s="62">
        <f>VLOOKUP(B904,合并仓明细!$D$2:$F$74,3,0)</f>
        <v>216</v>
      </c>
      <c r="D904" s="44" t="s">
        <v>414</v>
      </c>
      <c r="E904" s="43" t="s">
        <v>265</v>
      </c>
      <c r="F904" t="s">
        <v>67</v>
      </c>
      <c r="G904">
        <v>13373.854469999998</v>
      </c>
      <c r="H904">
        <v>13.511691553309998</v>
      </c>
      <c r="I904" s="38">
        <f>IF(H904&gt;30,QUOTIENT(H904,30)*VLOOKUP(D904,'报价表-配送'!$B$84:$I$88,8,0),0)+IF(AND(MOD(H904,30)&gt;18,MOD(H904,30)&lt;=30),1,0)*VLOOKUP(D904,'报价表-配送'!$B$84:$I$88,8,0)</f>
        <v>0</v>
      </c>
      <c r="J904" s="38">
        <f>IF(AND(MOD(H904,30)&gt;8,MOD(H904,30)&lt;=18),1*VLOOKUP(D904,'报价表-配送'!$B$84:$I$88,7,0),0)</f>
        <v>0</v>
      </c>
      <c r="K904" s="38">
        <f>IF(AND(MOD(H904,30)&lt;=8,MOD(H904,30)&gt;0),1,0)*VLOOKUP(D904,'报价表-配送'!$B$84:$I$88,6,0)</f>
        <v>0</v>
      </c>
      <c r="N904" s="38">
        <f t="shared" si="13"/>
        <v>0</v>
      </c>
    </row>
    <row r="905" spans="1:14" x14ac:dyDescent="0.25">
      <c r="A905" t="s">
        <v>111</v>
      </c>
      <c r="B905" s="43" t="s">
        <v>116</v>
      </c>
      <c r="C905" s="62">
        <f>VLOOKUP(B905,合并仓明细!$D$2:$F$74,3,0)</f>
        <v>216</v>
      </c>
      <c r="D905" s="44" t="s">
        <v>414</v>
      </c>
      <c r="E905" s="43" t="s">
        <v>265</v>
      </c>
      <c r="F905" t="s">
        <v>66</v>
      </c>
      <c r="G905">
        <v>137.83708331</v>
      </c>
      <c r="H905"/>
      <c r="I905" s="46"/>
      <c r="J905" s="37"/>
      <c r="K905" s="37"/>
      <c r="L905" s="37"/>
      <c r="M905" s="37"/>
      <c r="N905" s="38">
        <f t="shared" si="13"/>
        <v>0</v>
      </c>
    </row>
    <row r="906" spans="1:14" x14ac:dyDescent="0.25">
      <c r="A906" t="s">
        <v>111</v>
      </c>
      <c r="B906" s="43" t="s">
        <v>116</v>
      </c>
      <c r="C906" s="62">
        <f>VLOOKUP(B906,合并仓明细!$D$2:$F$74,3,0)</f>
        <v>216</v>
      </c>
      <c r="D906" s="44" t="s">
        <v>414</v>
      </c>
      <c r="E906" s="43" t="s">
        <v>309</v>
      </c>
      <c r="F906" t="s">
        <v>66</v>
      </c>
      <c r="G906">
        <v>957.47749999999996</v>
      </c>
      <c r="H906">
        <v>0.95747750000000009</v>
      </c>
      <c r="L906" s="37">
        <f>IF(H906&gt;30,QUOTIENT(H906,30)*VLOOKUP(D906,'报价表-配送'!$B$84:$I$88,8,0),0)+IF(AND(MOD(H906,30)&gt;18,MOD(H906,30)&lt;=30),1,0)*VLOOKUP(D906,'报价表-配送'!$B$84:$I$88,8,0)+IF(AND(MOD(H906,30)&gt;8,MOD(H906,30)&lt;=18),1*VLOOKUP(D906,'报价表-配送'!$B$84:$I$88,7,0),0)+IF(AND(MOD(H906,30)&lt;=8,MOD(H906,30)&gt;2.5),1,0)*VLOOKUP(D906,'报价表-配送'!$B$84:$I$88,6,0)+IF(AND(MOD(H906,30)&lt;=2.5,MOD(H906,30)&gt;=1.5),1,0)*VLOOKUP(D906,'报价表-配送'!$B$84:$I$88,5,0)</f>
        <v>0</v>
      </c>
      <c r="M906" s="39">
        <f>IF(AND(MOD(H906,30)&lt;1.5,MOD(H906,30)&gt;=0.5),H906,0)*VLOOKUP(D906,'报价表-配送'!$B$84:$I$88,4,0)*1000+IF(AND(MOD(H906,30)&lt;0.5,MOD(H906,30)&gt;=0.02),H906,0)*VLOOKUP(D906,'报价表-配送'!$B$84:$I$88,3,0)*1000+IF(AND(MOD(H906,30)&lt;0.02),H906,0)*VLOOKUP(D906,'报价表-配送'!$B$84:$I$88,2,0)*1000</f>
        <v>0</v>
      </c>
      <c r="N906" s="38">
        <f t="shared" si="13"/>
        <v>0</v>
      </c>
    </row>
    <row r="907" spans="1:14" x14ac:dyDescent="0.25">
      <c r="A907" t="s">
        <v>111</v>
      </c>
      <c r="B907" s="43" t="s">
        <v>116</v>
      </c>
      <c r="C907" s="62">
        <f>VLOOKUP(B907,合并仓明细!$D$2:$F$74,3,0)</f>
        <v>216</v>
      </c>
      <c r="D907" s="44" t="s">
        <v>414</v>
      </c>
      <c r="E907" s="43" t="s">
        <v>259</v>
      </c>
      <c r="F907" t="s">
        <v>66</v>
      </c>
      <c r="G907">
        <v>547.70000000000005</v>
      </c>
      <c r="H907">
        <v>0.54770000000000008</v>
      </c>
      <c r="L907" s="37">
        <f>IF(H907&gt;30,QUOTIENT(H907,30)*VLOOKUP(D907,'报价表-配送'!$B$84:$I$88,8,0),0)+IF(AND(MOD(H907,30)&gt;18,MOD(H907,30)&lt;=30),1,0)*VLOOKUP(D907,'报价表-配送'!$B$84:$I$88,8,0)+IF(AND(MOD(H907,30)&gt;8,MOD(H907,30)&lt;=18),1*VLOOKUP(D907,'报价表-配送'!$B$84:$I$88,7,0),0)+IF(AND(MOD(H907,30)&lt;=8,MOD(H907,30)&gt;2.5),1,0)*VLOOKUP(D907,'报价表-配送'!$B$84:$I$88,6,0)+IF(AND(MOD(H907,30)&lt;=2.5,MOD(H907,30)&gt;=1.5),1,0)*VLOOKUP(D907,'报价表-配送'!$B$84:$I$88,5,0)</f>
        <v>0</v>
      </c>
      <c r="M907" s="39">
        <f>IF(AND(MOD(H907,30)&lt;1.5,MOD(H907,30)&gt;=0.5),H907,0)*VLOOKUP(D907,'报价表-配送'!$B$84:$I$88,4,0)*1000+IF(AND(MOD(H907,30)&lt;0.5,MOD(H907,30)&gt;=0.02),H907,0)*VLOOKUP(D907,'报价表-配送'!$B$84:$I$88,3,0)*1000+IF(AND(MOD(H907,30)&lt;0.02),H907,0)*VLOOKUP(D907,'报价表-配送'!$B$84:$I$88,2,0)*1000</f>
        <v>0</v>
      </c>
      <c r="N907" s="38">
        <f t="shared" si="13"/>
        <v>0</v>
      </c>
    </row>
    <row r="908" spans="1:14" x14ac:dyDescent="0.25">
      <c r="A908" t="s">
        <v>111</v>
      </c>
      <c r="B908" s="43" t="s">
        <v>116</v>
      </c>
      <c r="C908" s="62">
        <f>VLOOKUP(B908,合并仓明细!$D$2:$F$74,3,0)</f>
        <v>216</v>
      </c>
      <c r="D908" s="44" t="s">
        <v>414</v>
      </c>
      <c r="E908" s="43" t="s">
        <v>339</v>
      </c>
      <c r="F908" t="s">
        <v>66</v>
      </c>
      <c r="G908" s="103">
        <v>1540.6403332</v>
      </c>
      <c r="H908" s="103">
        <v>1.5406403332</v>
      </c>
      <c r="I908" s="46"/>
      <c r="J908" s="37"/>
      <c r="K908" s="37"/>
      <c r="L908" s="37">
        <f>IF(H908&gt;30,QUOTIENT(H908,30)*VLOOKUP(D908,'报价表-配送'!$B$84:$I$88,8,0),0)+IF(AND(MOD(H908,30)&gt;18,MOD(H908,30)&lt;=30),1,0)*VLOOKUP(D908,'报价表-配送'!$B$84:$I$88,8,0)+IF(AND(MOD(H908,30)&gt;8,MOD(H908,30)&lt;=18),1*VLOOKUP(D908,'报价表-配送'!$B$84:$I$88,7,0),0)+IF(AND(MOD(H908,30)&lt;=8,MOD(H908,30)&gt;2.5),1,0)*VLOOKUP(D908,'报价表-配送'!$B$84:$I$88,6,0)+IF(AND(MOD(H908,30)&lt;=2.5,MOD(H908,30)&gt;=1.5),1,0)*VLOOKUP(D908,'报价表-配送'!$B$84:$I$88,5,0)</f>
        <v>0</v>
      </c>
      <c r="M908" s="39">
        <f>IF(AND(MOD(H908,30)&lt;1.5,MOD(H908,30)&gt;=0.5),H908,0)*VLOOKUP(D908,'报价表-配送'!$B$84:$I$88,4,0)*1000+IF(AND(MOD(H908,30)&lt;0.5,MOD(H908,30)&gt;=0.02),H908,0)*VLOOKUP(D908,'报价表-配送'!$B$84:$I$88,3,0)*1000+IF(AND(MOD(H908,30)&lt;0.02),H908,0)*VLOOKUP(D908,'报价表-配送'!$B$84:$I$88,2,0)*1000</f>
        <v>0</v>
      </c>
      <c r="N908" s="38">
        <f t="shared" si="13"/>
        <v>0</v>
      </c>
    </row>
    <row r="909" spans="1:14" x14ac:dyDescent="0.25">
      <c r="A909" t="s">
        <v>111</v>
      </c>
      <c r="B909" s="43" t="s">
        <v>116</v>
      </c>
      <c r="C909" s="62">
        <f>VLOOKUP(B909,合并仓明细!$D$2:$F$74,3,0)</f>
        <v>216</v>
      </c>
      <c r="D909" s="44" t="s">
        <v>414</v>
      </c>
      <c r="E909" s="43" t="s">
        <v>340</v>
      </c>
      <c r="F909" t="s">
        <v>66</v>
      </c>
      <c r="G909">
        <v>38.248333420000002</v>
      </c>
      <c r="H909">
        <v>3.8248333420000002E-2</v>
      </c>
      <c r="L909" s="37">
        <f>IF(H909&gt;30,QUOTIENT(H909,30)*VLOOKUP(D909,'报价表-配送'!$B$84:$I$88,8,0),0)+IF(AND(MOD(H909,30)&gt;18,MOD(H909,30)&lt;=30),1,0)*VLOOKUP(D909,'报价表-配送'!$B$84:$I$88,8,0)+IF(AND(MOD(H909,30)&gt;8,MOD(H909,30)&lt;=18),1*VLOOKUP(D909,'报价表-配送'!$B$84:$I$88,7,0),0)+IF(AND(MOD(H909,30)&lt;=8,MOD(H909,30)&gt;2.5),1,0)*VLOOKUP(D909,'报价表-配送'!$B$84:$I$88,6,0)+IF(AND(MOD(H909,30)&lt;=2.5,MOD(H909,30)&gt;=1.5),1,0)*VLOOKUP(D909,'报价表-配送'!$B$84:$I$88,5,0)</f>
        <v>0</v>
      </c>
      <c r="M909" s="39">
        <f>IF(AND(MOD(H909,30)&lt;1.5,MOD(H909,30)&gt;=0.5),H909,0)*VLOOKUP(D909,'报价表-配送'!$B$84:$I$88,4,0)*1000+IF(AND(MOD(H909,30)&lt;0.5,MOD(H909,30)&gt;=0.02),H909,0)*VLOOKUP(D909,'报价表-配送'!$B$84:$I$88,3,0)*1000+IF(AND(MOD(H909,30)&lt;0.02),H909,0)*VLOOKUP(D909,'报价表-配送'!$B$84:$I$88,2,0)*1000</f>
        <v>0</v>
      </c>
      <c r="N909" s="38">
        <f t="shared" si="13"/>
        <v>0</v>
      </c>
    </row>
    <row r="910" spans="1:14" x14ac:dyDescent="0.25">
      <c r="A910" t="s">
        <v>111</v>
      </c>
      <c r="B910" s="43" t="s">
        <v>116</v>
      </c>
      <c r="C910" s="62">
        <f>VLOOKUP(B910,合并仓明细!$D$2:$F$74,3,0)</f>
        <v>216</v>
      </c>
      <c r="D910" s="44" t="s">
        <v>414</v>
      </c>
      <c r="E910" s="43" t="s">
        <v>355</v>
      </c>
      <c r="F910" t="s">
        <v>67</v>
      </c>
      <c r="G910">
        <v>6800.3143019999998</v>
      </c>
      <c r="H910">
        <v>6.8003143019999994</v>
      </c>
      <c r="I910" s="38">
        <f>IF(H910&gt;30,QUOTIENT(H910,30)*VLOOKUP(D910,'报价表-配送'!$B$84:$I$88,8,0),0)+IF(AND(MOD(H910,30)&gt;18,MOD(H910,30)&lt;=30),1,0)*VLOOKUP(D910,'报价表-配送'!$B$84:$I$88,8,0)</f>
        <v>0</v>
      </c>
      <c r="J910" s="38">
        <f>IF(AND(MOD(H910,30)&gt;8,MOD(H910,30)&lt;=18),1*VLOOKUP(D910,'报价表-配送'!$B$84:$I$88,7,0),0)</f>
        <v>0</v>
      </c>
      <c r="K910" s="38">
        <f>IF(AND(MOD(H910,30)&lt;=8,MOD(H910,30)&gt;0),1,0)*VLOOKUP(D910,'报价表-配送'!$B$84:$I$88,6,0)</f>
        <v>0</v>
      </c>
      <c r="N910" s="38">
        <f t="shared" si="13"/>
        <v>0</v>
      </c>
    </row>
    <row r="911" spans="1:14" x14ac:dyDescent="0.25">
      <c r="A911" t="s">
        <v>111</v>
      </c>
      <c r="B911" s="43" t="s">
        <v>116</v>
      </c>
      <c r="C911" s="62">
        <f>VLOOKUP(B911,合并仓明细!$D$2:$F$74,3,0)</f>
        <v>216</v>
      </c>
      <c r="D911" s="44" t="s">
        <v>414</v>
      </c>
      <c r="E911" s="43" t="s">
        <v>331</v>
      </c>
      <c r="F911" t="s">
        <v>66</v>
      </c>
      <c r="G911">
        <v>141.53333314999998</v>
      </c>
      <c r="H911">
        <v>0.14153333314999997</v>
      </c>
      <c r="I911" s="38"/>
      <c r="J911" s="38"/>
      <c r="K911" s="38"/>
      <c r="L911" s="37">
        <f>IF(H911&gt;30,QUOTIENT(H911,30)*VLOOKUP(D911,'报价表-配送'!$B$84:$I$88,8,0),0)+IF(AND(MOD(H911,30)&gt;18,MOD(H911,30)&lt;=30),1,0)*VLOOKUP(D911,'报价表-配送'!$B$84:$I$88,8,0)+IF(AND(MOD(H911,30)&gt;8,MOD(H911,30)&lt;=18),1*VLOOKUP(D911,'报价表-配送'!$B$84:$I$88,7,0),0)+IF(AND(MOD(H911,30)&lt;=8,MOD(H911,30)&gt;2.5),1,0)*VLOOKUP(D911,'报价表-配送'!$B$84:$I$88,6,0)+IF(AND(MOD(H911,30)&lt;=2.5,MOD(H911,30)&gt;=1.5),1,0)*VLOOKUP(D911,'报价表-配送'!$B$84:$I$88,5,0)</f>
        <v>0</v>
      </c>
      <c r="M911" s="39">
        <f>IF(AND(MOD(H911,30)&lt;1.5,MOD(H911,30)&gt;=0.5),H911,0)*VLOOKUP(D911,'报价表-配送'!$B$84:$I$88,4,0)*1000+IF(AND(MOD(H911,30)&lt;0.5,MOD(H911,30)&gt;=0.02),H911,0)*VLOOKUP(D911,'报价表-配送'!$B$84:$I$88,3,0)*1000+IF(AND(MOD(H911,30)&lt;0.02),H911,0)*VLOOKUP(D911,'报价表-配送'!$B$84:$I$88,2,0)*1000</f>
        <v>0</v>
      </c>
      <c r="N911" s="38">
        <f t="shared" si="13"/>
        <v>0</v>
      </c>
    </row>
    <row r="912" spans="1:14" x14ac:dyDescent="0.25">
      <c r="A912" t="s">
        <v>111</v>
      </c>
      <c r="B912" s="43" t="s">
        <v>117</v>
      </c>
      <c r="C912" s="62">
        <f>VLOOKUP(B912,合并仓明细!$D$2:$F$74,3,0)</f>
        <v>92</v>
      </c>
      <c r="D912" t="s">
        <v>393</v>
      </c>
      <c r="E912" s="43" t="s">
        <v>272</v>
      </c>
      <c r="F912" t="s">
        <v>66</v>
      </c>
      <c r="G912" s="103">
        <v>17.68</v>
      </c>
      <c r="H912" s="103">
        <v>1.7680000000000001E-2</v>
      </c>
      <c r="L912" s="37">
        <f>IF(H912&gt;30,QUOTIENT(H912,30)*VLOOKUP(D912,'报价表-配送'!$B$84:$I$88,8,0),0)+IF(AND(MOD(H912,30)&gt;18,MOD(H912,30)&lt;=30),1,0)*VLOOKUP(D912,'报价表-配送'!$B$84:$I$88,8,0)+IF(AND(MOD(H912,30)&gt;8,MOD(H912,30)&lt;=18),1*VLOOKUP(D912,'报价表-配送'!$B$84:$I$88,7,0),0)+IF(AND(MOD(H912,30)&lt;=8,MOD(H912,30)&gt;2.5),1,0)*VLOOKUP(D912,'报价表-配送'!$B$84:$I$88,6,0)+IF(AND(MOD(H912,30)&lt;=2.5,MOD(H912,30)&gt;=1.5),1,0)*VLOOKUP(D912,'报价表-配送'!$B$84:$I$88,5,0)</f>
        <v>0</v>
      </c>
      <c r="M912" s="39">
        <f>IF(AND(MOD(H912,30)&lt;1.5,MOD(H912,30)&gt;=0.5),H912,0)*VLOOKUP(D912,'报价表-配送'!$B$84:$I$88,4,0)*1000+IF(AND(MOD(H912,30)&lt;0.5,MOD(H912,30)&gt;=0.02),H912,0)*VLOOKUP(D912,'报价表-配送'!$B$84:$I$88,3,0)*1000+IF(AND(MOD(H912,30)&lt;0.02),H912,0)*VLOOKUP(D912,'报价表-配送'!$B$84:$I$88,2,0)*1000</f>
        <v>0</v>
      </c>
      <c r="N912" s="38">
        <f t="shared" si="13"/>
        <v>0</v>
      </c>
    </row>
    <row r="913" spans="1:14" x14ac:dyDescent="0.25">
      <c r="A913" t="s">
        <v>111</v>
      </c>
      <c r="B913" s="43" t="s">
        <v>118</v>
      </c>
      <c r="C913" s="62">
        <f>VLOOKUP(B913,合并仓明细!$D$2:$F$74,3,0)</f>
        <v>121</v>
      </c>
      <c r="D913" t="s">
        <v>413</v>
      </c>
      <c r="E913" s="43" t="s">
        <v>265</v>
      </c>
      <c r="F913" t="s">
        <v>68</v>
      </c>
      <c r="G913">
        <v>1319.4</v>
      </c>
      <c r="H913">
        <v>1.4893899995000002</v>
      </c>
      <c r="I913" s="46">
        <f>ROUNDUP(H913/30,0)*VLOOKUP(D913,'报价表-配送'!$B$84:$I$88,8,0)</f>
        <v>0</v>
      </c>
      <c r="J913" s="38"/>
      <c r="K913" s="38"/>
      <c r="L913" s="37"/>
      <c r="M913" s="37"/>
      <c r="N913" s="38">
        <f t="shared" si="13"/>
        <v>0</v>
      </c>
    </row>
    <row r="914" spans="1:14" x14ac:dyDescent="0.25">
      <c r="A914" t="s">
        <v>111</v>
      </c>
      <c r="B914" s="43" t="s">
        <v>118</v>
      </c>
      <c r="C914" s="62">
        <f>VLOOKUP(B914,合并仓明细!$D$2:$F$74,3,0)</f>
        <v>121</v>
      </c>
      <c r="D914" t="s">
        <v>413</v>
      </c>
      <c r="E914" s="43" t="s">
        <v>265</v>
      </c>
      <c r="F914" t="s">
        <v>66</v>
      </c>
      <c r="G914">
        <v>169.98999949999998</v>
      </c>
      <c r="H914"/>
      <c r="N914" s="38">
        <f t="shared" si="13"/>
        <v>0</v>
      </c>
    </row>
    <row r="915" spans="1:14" x14ac:dyDescent="0.25">
      <c r="A915" t="s">
        <v>111</v>
      </c>
      <c r="B915" s="43" t="s">
        <v>118</v>
      </c>
      <c r="C915" s="62">
        <f>VLOOKUP(B915,合并仓明细!$D$2:$F$74,3,0)</f>
        <v>121</v>
      </c>
      <c r="D915" t="s">
        <v>413</v>
      </c>
      <c r="E915" s="43" t="s">
        <v>273</v>
      </c>
      <c r="F915" t="s">
        <v>67</v>
      </c>
      <c r="G915">
        <v>3631.3355279999996</v>
      </c>
      <c r="H915">
        <v>4.3373765280000001</v>
      </c>
      <c r="I915" s="38">
        <f>IF(H915&gt;30,QUOTIENT(H915,30)*VLOOKUP(D915,'报价表-配送'!$B$84:$I$88,8,0),0)+IF(AND(MOD(H915,30)&gt;18,MOD(H915,30)&lt;=30),1,0)*VLOOKUP(D915,'报价表-配送'!$B$84:$I$88,8,0)</f>
        <v>0</v>
      </c>
      <c r="J915" s="38">
        <f>IF(AND(MOD(H915,30)&gt;8,MOD(H915,30)&lt;=18),1*VLOOKUP(D915,'报价表-配送'!$B$84:$I$88,7,0),0)</f>
        <v>0</v>
      </c>
      <c r="K915" s="38">
        <f>IF(AND(MOD(H915,30)&lt;=8,MOD(H915,30)&gt;0),1,0)*VLOOKUP(D915,'报价表-配送'!$B$84:$I$88,6,0)</f>
        <v>0</v>
      </c>
      <c r="L915" s="37"/>
      <c r="M915" s="37"/>
      <c r="N915" s="38">
        <f t="shared" si="13"/>
        <v>0</v>
      </c>
    </row>
    <row r="916" spans="1:14" x14ac:dyDescent="0.25">
      <c r="A916" t="s">
        <v>111</v>
      </c>
      <c r="B916" s="43" t="s">
        <v>118</v>
      </c>
      <c r="C916" s="62">
        <f>VLOOKUP(B916,合并仓明细!$D$2:$F$74,3,0)</f>
        <v>121</v>
      </c>
      <c r="D916" t="s">
        <v>413</v>
      </c>
      <c r="E916" s="43" t="s">
        <v>273</v>
      </c>
      <c r="F916" t="s">
        <v>66</v>
      </c>
      <c r="G916">
        <v>706.04099999999994</v>
      </c>
      <c r="H916"/>
      <c r="N916" s="38">
        <f t="shared" si="13"/>
        <v>0</v>
      </c>
    </row>
    <row r="917" spans="1:14" x14ac:dyDescent="0.25">
      <c r="A917" t="s">
        <v>111</v>
      </c>
      <c r="B917" s="43" t="s">
        <v>118</v>
      </c>
      <c r="C917" s="62">
        <f>VLOOKUP(B917,合并仓明细!$D$2:$F$74,3,0)</f>
        <v>121</v>
      </c>
      <c r="D917" t="s">
        <v>413</v>
      </c>
      <c r="E917" s="43" t="s">
        <v>346</v>
      </c>
      <c r="F917" t="s">
        <v>68</v>
      </c>
      <c r="G917">
        <v>5108.9040000000005</v>
      </c>
      <c r="H917">
        <v>5.1803640000000009</v>
      </c>
      <c r="I917" s="46">
        <f>ROUNDUP(H917/30,0)*VLOOKUP(D917,'报价表-配送'!$B$84:$I$88,8,0)</f>
        <v>0</v>
      </c>
      <c r="N917" s="38">
        <f t="shared" si="13"/>
        <v>0</v>
      </c>
    </row>
    <row r="918" spans="1:14" x14ac:dyDescent="0.25">
      <c r="A918" t="s">
        <v>111</v>
      </c>
      <c r="B918" s="43" t="s">
        <v>118</v>
      </c>
      <c r="C918" s="62">
        <f>VLOOKUP(B918,合并仓明细!$D$2:$F$74,3,0)</f>
        <v>121</v>
      </c>
      <c r="D918" t="s">
        <v>413</v>
      </c>
      <c r="E918" s="43" t="s">
        <v>346</v>
      </c>
      <c r="F918" t="s">
        <v>66</v>
      </c>
      <c r="G918">
        <v>71.460000000000008</v>
      </c>
      <c r="H918"/>
      <c r="L918" s="37"/>
      <c r="M918" s="39"/>
      <c r="N918" s="38">
        <f t="shared" si="13"/>
        <v>0</v>
      </c>
    </row>
    <row r="919" spans="1:14" x14ac:dyDescent="0.25">
      <c r="A919" t="s">
        <v>111</v>
      </c>
      <c r="B919" s="43" t="s">
        <v>118</v>
      </c>
      <c r="C919" s="62">
        <f>VLOOKUP(B919,合并仓明细!$D$2:$F$74,3,0)</f>
        <v>121</v>
      </c>
      <c r="D919" t="s">
        <v>413</v>
      </c>
      <c r="E919" s="43" t="s">
        <v>347</v>
      </c>
      <c r="F919" t="s">
        <v>67</v>
      </c>
      <c r="G919">
        <v>2277.6941999999999</v>
      </c>
      <c r="H919">
        <v>2.3070841999999998</v>
      </c>
      <c r="I919" s="38">
        <f>IF(H919&gt;30,QUOTIENT(H919,30)*VLOOKUP(D919,'报价表-配送'!$B$84:$I$88,8,0),0)+IF(AND(MOD(H919,30)&gt;18,MOD(H919,30)&lt;=30),1,0)*VLOOKUP(D919,'报价表-配送'!$B$84:$I$88,8,0)</f>
        <v>0</v>
      </c>
      <c r="J919" s="38">
        <f>IF(AND(MOD(H919,30)&gt;8,MOD(H919,30)&lt;=18),1*VLOOKUP(D919,'报价表-配送'!$B$84:$I$88,7,0),0)</f>
        <v>0</v>
      </c>
      <c r="K919" s="38">
        <f>IF(AND(MOD(H919,30)&lt;=8,MOD(H919,30)&gt;0),1,0)*VLOOKUP(D919,'报价表-配送'!$B$84:$I$88,6,0)</f>
        <v>0</v>
      </c>
      <c r="L919" s="37"/>
      <c r="M919" s="37"/>
      <c r="N919" s="38">
        <f t="shared" si="13"/>
        <v>0</v>
      </c>
    </row>
    <row r="920" spans="1:14" x14ac:dyDescent="0.25">
      <c r="A920" t="s">
        <v>111</v>
      </c>
      <c r="B920" s="43" t="s">
        <v>118</v>
      </c>
      <c r="C920" s="62">
        <f>VLOOKUP(B920,合并仓明细!$D$2:$F$74,3,0)</f>
        <v>121</v>
      </c>
      <c r="D920" t="s">
        <v>413</v>
      </c>
      <c r="E920" s="43" t="s">
        <v>347</v>
      </c>
      <c r="F920" t="s">
        <v>66</v>
      </c>
      <c r="G920">
        <v>29.39</v>
      </c>
      <c r="H920"/>
      <c r="N920" s="38">
        <f t="shared" ref="N920:N983" si="14">SUM(I920:M920)</f>
        <v>0</v>
      </c>
    </row>
    <row r="921" spans="1:14" x14ac:dyDescent="0.25">
      <c r="A921" t="s">
        <v>111</v>
      </c>
      <c r="B921" s="43" t="s">
        <v>118</v>
      </c>
      <c r="C921" s="62">
        <f>VLOOKUP(B921,合并仓明细!$D$2:$F$74,3,0)</f>
        <v>121</v>
      </c>
      <c r="D921" t="s">
        <v>413</v>
      </c>
      <c r="E921" s="43" t="s">
        <v>329</v>
      </c>
      <c r="F921" t="s">
        <v>68</v>
      </c>
      <c r="G921">
        <v>723.072</v>
      </c>
      <c r="H921">
        <v>0.76618200000000003</v>
      </c>
      <c r="I921" s="46">
        <f>ROUNDUP(H921/30,0)*VLOOKUP(D921,'报价表-配送'!$B$84:$I$88,8,0)</f>
        <v>0</v>
      </c>
      <c r="N921" s="38">
        <f t="shared" si="14"/>
        <v>0</v>
      </c>
    </row>
    <row r="922" spans="1:14" x14ac:dyDescent="0.25">
      <c r="A922" t="s">
        <v>111</v>
      </c>
      <c r="B922" s="43" t="s">
        <v>118</v>
      </c>
      <c r="C922" s="62">
        <f>VLOOKUP(B922,合并仓明细!$D$2:$F$74,3,0)</f>
        <v>121</v>
      </c>
      <c r="D922" t="s">
        <v>413</v>
      </c>
      <c r="E922" s="43" t="s">
        <v>329</v>
      </c>
      <c r="F922" t="s">
        <v>66</v>
      </c>
      <c r="G922">
        <v>43.11</v>
      </c>
      <c r="H922"/>
      <c r="I922" s="38"/>
      <c r="J922" s="38"/>
      <c r="K922" s="38"/>
      <c r="L922" s="37"/>
      <c r="M922" s="37"/>
      <c r="N922" s="38">
        <f t="shared" si="14"/>
        <v>0</v>
      </c>
    </row>
    <row r="923" spans="1:14" x14ac:dyDescent="0.25">
      <c r="A923" t="s">
        <v>111</v>
      </c>
      <c r="B923" s="43" t="s">
        <v>118</v>
      </c>
      <c r="C923" s="62">
        <f>VLOOKUP(B923,合并仓明细!$D$2:$F$74,3,0)</f>
        <v>121</v>
      </c>
      <c r="D923" t="s">
        <v>413</v>
      </c>
      <c r="E923" s="43" t="s">
        <v>291</v>
      </c>
      <c r="F923" t="s">
        <v>67</v>
      </c>
      <c r="G923">
        <v>2312.8749800000001</v>
      </c>
      <c r="H923">
        <v>2.79210498005</v>
      </c>
      <c r="I923" s="38">
        <f>IF(H923&gt;30,QUOTIENT(H923,30)*VLOOKUP(D923,'报价表-配送'!$B$84:$I$88,8,0),0)+IF(AND(MOD(H923,30)&gt;18,MOD(H923,30)&lt;=30),1,0)*VLOOKUP(D923,'报价表-配送'!$B$84:$I$88,8,0)</f>
        <v>0</v>
      </c>
      <c r="J923" s="38">
        <f>IF(AND(MOD(H923,30)&gt;8,MOD(H923,30)&lt;=18),1*VLOOKUP(D923,'报价表-配送'!$B$84:$I$88,7,0),0)</f>
        <v>0</v>
      </c>
      <c r="K923" s="38">
        <f>IF(AND(MOD(H923,30)&lt;=8,MOD(H923,30)&gt;0),1,0)*VLOOKUP(D923,'报价表-配送'!$B$84:$I$88,6,0)</f>
        <v>0</v>
      </c>
      <c r="N923" s="38">
        <f t="shared" si="14"/>
        <v>0</v>
      </c>
    </row>
    <row r="924" spans="1:14" x14ac:dyDescent="0.25">
      <c r="A924" t="s">
        <v>111</v>
      </c>
      <c r="B924" s="43" t="s">
        <v>118</v>
      </c>
      <c r="C924" s="62">
        <f>VLOOKUP(B924,合并仓明细!$D$2:$F$74,3,0)</f>
        <v>121</v>
      </c>
      <c r="D924" t="s">
        <v>413</v>
      </c>
      <c r="E924" s="43" t="s">
        <v>291</v>
      </c>
      <c r="F924" t="s">
        <v>66</v>
      </c>
      <c r="G924">
        <v>479.23000005</v>
      </c>
      <c r="H924"/>
      <c r="I924" s="38"/>
      <c r="J924" s="38"/>
      <c r="K924" s="38"/>
      <c r="L924" s="37"/>
      <c r="M924" s="37"/>
      <c r="N924" s="38">
        <f t="shared" si="14"/>
        <v>0</v>
      </c>
    </row>
    <row r="925" spans="1:14" x14ac:dyDescent="0.25">
      <c r="A925" t="s">
        <v>111</v>
      </c>
      <c r="B925" s="43" t="s">
        <v>118</v>
      </c>
      <c r="C925" s="62">
        <f>VLOOKUP(B925,合并仓明细!$D$2:$F$74,3,0)</f>
        <v>121</v>
      </c>
      <c r="D925" t="s">
        <v>413</v>
      </c>
      <c r="E925" s="43" t="s">
        <v>293</v>
      </c>
      <c r="F925" t="s">
        <v>67</v>
      </c>
      <c r="G925" s="103">
        <v>8151.2438700000002</v>
      </c>
      <c r="H925" s="103">
        <v>8.5082638700000004</v>
      </c>
      <c r="I925" s="38">
        <f>IF(H925&gt;30,QUOTIENT(H925,30)*VLOOKUP(D925,'报价表-配送'!$B$84:$I$88,8,0),0)+IF(AND(MOD(H925,30)&gt;18,MOD(H925,30)&lt;=30),1,0)*VLOOKUP(D925,'报价表-配送'!$B$84:$I$88,8,0)</f>
        <v>0</v>
      </c>
      <c r="J925" s="38">
        <f>IF(AND(MOD(H925,30)&gt;8,MOD(H925,30)&lt;=18),1*VLOOKUP(D925,'报价表-配送'!$B$84:$I$88,7,0),0)</f>
        <v>0</v>
      </c>
      <c r="K925" s="38">
        <f>IF(AND(MOD(H925,30)&lt;=8,MOD(H925,30)&gt;0),1,0)*VLOOKUP(D925,'报价表-配送'!$B$84:$I$88,6,0)</f>
        <v>0</v>
      </c>
      <c r="N925" s="38">
        <f t="shared" si="14"/>
        <v>0</v>
      </c>
    </row>
    <row r="926" spans="1:14" x14ac:dyDescent="0.25">
      <c r="A926" t="s">
        <v>111</v>
      </c>
      <c r="B926" s="43" t="s">
        <v>118</v>
      </c>
      <c r="C926" s="62">
        <f>VLOOKUP(B926,合并仓明细!$D$2:$F$74,3,0)</f>
        <v>121</v>
      </c>
      <c r="D926" t="s">
        <v>413</v>
      </c>
      <c r="E926" s="43" t="s">
        <v>293</v>
      </c>
      <c r="F926" t="s">
        <v>66</v>
      </c>
      <c r="G926">
        <v>357.02000000000004</v>
      </c>
      <c r="H926"/>
      <c r="I926" s="46"/>
      <c r="J926" s="37"/>
      <c r="K926" s="37"/>
      <c r="L926" s="37"/>
      <c r="M926" s="37"/>
      <c r="N926" s="38">
        <f t="shared" si="14"/>
        <v>0</v>
      </c>
    </row>
    <row r="927" spans="1:14" x14ac:dyDescent="0.25">
      <c r="A927" t="s">
        <v>111</v>
      </c>
      <c r="B927" s="43" t="s">
        <v>118</v>
      </c>
      <c r="C927" s="62">
        <f>VLOOKUP(B927,合并仓明细!$D$2:$F$74,3,0)</f>
        <v>121</v>
      </c>
      <c r="D927" t="s">
        <v>413</v>
      </c>
      <c r="E927" s="43" t="s">
        <v>319</v>
      </c>
      <c r="F927" t="s">
        <v>67</v>
      </c>
      <c r="G927">
        <v>1353.6413279999999</v>
      </c>
      <c r="H927">
        <v>2.1810346613</v>
      </c>
      <c r="I927" s="38">
        <f>IF(H927&gt;30,QUOTIENT(H927,30)*VLOOKUP(D927,'报价表-配送'!$B$84:$I$88,8,0),0)+IF(AND(MOD(H927,30)&gt;18,MOD(H927,30)&lt;=30),1,0)*VLOOKUP(D927,'报价表-配送'!$B$84:$I$88,8,0)</f>
        <v>0</v>
      </c>
      <c r="J927" s="38">
        <f>IF(AND(MOD(H927,30)&gt;8,MOD(H927,30)&lt;=18),1*VLOOKUP(D927,'报价表-配送'!$B$84:$I$88,7,0),0)</f>
        <v>0</v>
      </c>
      <c r="K927" s="38">
        <f>IF(AND(MOD(H927,30)&lt;=8,MOD(H927,30)&gt;0),1,0)*VLOOKUP(D927,'报价表-配送'!$B$84:$I$88,6,0)</f>
        <v>0</v>
      </c>
      <c r="N927" s="38">
        <f t="shared" si="14"/>
        <v>0</v>
      </c>
    </row>
    <row r="928" spans="1:14" x14ac:dyDescent="0.25">
      <c r="A928" t="s">
        <v>111</v>
      </c>
      <c r="B928" s="43" t="s">
        <v>118</v>
      </c>
      <c r="C928" s="62">
        <f>VLOOKUP(B928,合并仓明细!$D$2:$F$74,3,0)</f>
        <v>121</v>
      </c>
      <c r="D928" t="s">
        <v>413</v>
      </c>
      <c r="E928" s="43" t="s">
        <v>319</v>
      </c>
      <c r="F928" t="s">
        <v>66</v>
      </c>
      <c r="G928">
        <v>827.39333329999999</v>
      </c>
      <c r="H928"/>
      <c r="I928" s="38"/>
      <c r="J928" s="38"/>
      <c r="K928" s="38"/>
      <c r="L928" s="37"/>
      <c r="M928" s="37"/>
      <c r="N928" s="38">
        <f t="shared" si="14"/>
        <v>0</v>
      </c>
    </row>
    <row r="929" spans="1:14" x14ac:dyDescent="0.25">
      <c r="A929" t="s">
        <v>111</v>
      </c>
      <c r="B929" s="43" t="s">
        <v>118</v>
      </c>
      <c r="C929" s="62">
        <f>VLOOKUP(B929,合并仓明细!$D$2:$F$74,3,0)</f>
        <v>121</v>
      </c>
      <c r="D929" t="s">
        <v>413</v>
      </c>
      <c r="E929" s="43" t="s">
        <v>303</v>
      </c>
      <c r="F929" t="s">
        <v>66</v>
      </c>
      <c r="G929">
        <v>33.200000000000003</v>
      </c>
      <c r="H929">
        <v>3.32E-2</v>
      </c>
      <c r="L929" s="37">
        <f>IF(H929&gt;30,QUOTIENT(H929,30)*VLOOKUP(D929,'报价表-配送'!$B$84:$I$88,8,0),0)+IF(AND(MOD(H929,30)&gt;18,MOD(H929,30)&lt;=30),1,0)*VLOOKUP(D929,'报价表-配送'!$B$84:$I$88,8,0)+IF(AND(MOD(H929,30)&gt;8,MOD(H929,30)&lt;=18),1*VLOOKUP(D929,'报价表-配送'!$B$84:$I$88,7,0),0)+IF(AND(MOD(H929,30)&lt;=8,MOD(H929,30)&gt;2.5),1,0)*VLOOKUP(D929,'报价表-配送'!$B$84:$I$88,6,0)+IF(AND(MOD(H929,30)&lt;=2.5,MOD(H929,30)&gt;=1.5),1,0)*VLOOKUP(D929,'报价表-配送'!$B$84:$I$88,5,0)</f>
        <v>0</v>
      </c>
      <c r="M929" s="39">
        <f>IF(AND(MOD(H929,30)&lt;1.5,MOD(H929,30)&gt;=0.5),H929,0)*VLOOKUP(D929,'报价表-配送'!$B$84:$I$88,4,0)*1000+IF(AND(MOD(H929,30)&lt;0.5,MOD(H929,30)&gt;=0.02),H929,0)*VLOOKUP(D929,'报价表-配送'!$B$84:$I$88,3,0)*1000+IF(AND(MOD(H929,30)&lt;0.02),H929,0)*VLOOKUP(D929,'报价表-配送'!$B$84:$I$88,2,0)*1000</f>
        <v>0</v>
      </c>
      <c r="N929" s="38">
        <f t="shared" si="14"/>
        <v>0</v>
      </c>
    </row>
    <row r="930" spans="1:14" x14ac:dyDescent="0.25">
      <c r="A930" t="s">
        <v>111</v>
      </c>
      <c r="B930" s="43" t="s">
        <v>118</v>
      </c>
      <c r="C930" s="62">
        <f>VLOOKUP(B930,合并仓明细!$D$2:$F$74,3,0)</f>
        <v>121</v>
      </c>
      <c r="D930" t="s">
        <v>413</v>
      </c>
      <c r="E930" s="43" t="s">
        <v>252</v>
      </c>
      <c r="F930" t="s">
        <v>67</v>
      </c>
      <c r="G930">
        <v>2277.6941999999999</v>
      </c>
      <c r="H930">
        <v>2.2980242</v>
      </c>
      <c r="I930" s="38">
        <f>IF(H930&gt;30,QUOTIENT(H930,30)*VLOOKUP(D930,'报价表-配送'!$B$84:$I$88,8,0),0)+IF(AND(MOD(H930,30)&gt;18,MOD(H930,30)&lt;=30),1,0)*VLOOKUP(D930,'报价表-配送'!$B$84:$I$88,8,0)</f>
        <v>0</v>
      </c>
      <c r="J930" s="38">
        <f>IF(AND(MOD(H930,30)&gt;8,MOD(H930,30)&lt;=18),1*VLOOKUP(D930,'报价表-配送'!$B$84:$I$88,7,0),0)</f>
        <v>0</v>
      </c>
      <c r="K930" s="38">
        <f>IF(AND(MOD(H930,30)&lt;=8,MOD(H930,30)&gt;0),1,0)*VLOOKUP(D930,'报价表-配送'!$B$84:$I$88,6,0)</f>
        <v>0</v>
      </c>
      <c r="L930" s="37"/>
      <c r="M930" s="37"/>
      <c r="N930" s="38">
        <f t="shared" si="14"/>
        <v>0</v>
      </c>
    </row>
    <row r="931" spans="1:14" x14ac:dyDescent="0.25">
      <c r="A931" t="s">
        <v>111</v>
      </c>
      <c r="B931" s="43" t="s">
        <v>118</v>
      </c>
      <c r="C931" s="62">
        <f>VLOOKUP(B931,合并仓明细!$D$2:$F$74,3,0)</f>
        <v>121</v>
      </c>
      <c r="D931" t="s">
        <v>413</v>
      </c>
      <c r="E931" s="43" t="s">
        <v>252</v>
      </c>
      <c r="F931" t="s">
        <v>66</v>
      </c>
      <c r="G931">
        <v>20.329999999999998</v>
      </c>
      <c r="H931"/>
      <c r="N931" s="38">
        <f t="shared" si="14"/>
        <v>0</v>
      </c>
    </row>
    <row r="932" spans="1:14" x14ac:dyDescent="0.25">
      <c r="A932" t="s">
        <v>111</v>
      </c>
      <c r="B932" s="43" t="s">
        <v>119</v>
      </c>
      <c r="C932" s="62">
        <f>VLOOKUP(B932,合并仓明细!$D$2:$F$74,3,0)</f>
        <v>156</v>
      </c>
      <c r="D932" t="s">
        <v>413</v>
      </c>
      <c r="E932" s="43" t="s">
        <v>307</v>
      </c>
      <c r="F932" t="s">
        <v>66</v>
      </c>
      <c r="G932">
        <v>59.725000000000009</v>
      </c>
      <c r="H932">
        <v>5.9725000000000007E-2</v>
      </c>
      <c r="L932" s="37">
        <f>IF(H932&gt;30,QUOTIENT(H932,30)*VLOOKUP(D932,'报价表-配送'!$B$84:$I$88,8,0),0)+IF(AND(MOD(H932,30)&gt;18,MOD(H932,30)&lt;=30),1,0)*VLOOKUP(D932,'报价表-配送'!$B$84:$I$88,8,0)+IF(AND(MOD(H932,30)&gt;8,MOD(H932,30)&lt;=18),1*VLOOKUP(D932,'报价表-配送'!$B$84:$I$88,7,0),0)+IF(AND(MOD(H932,30)&lt;=8,MOD(H932,30)&gt;2.5),1,0)*VLOOKUP(D932,'报价表-配送'!$B$84:$I$88,6,0)+IF(AND(MOD(H932,30)&lt;=2.5,MOD(H932,30)&gt;=1.5),1,0)*VLOOKUP(D932,'报价表-配送'!$B$84:$I$88,5,0)</f>
        <v>0</v>
      </c>
      <c r="M932" s="39">
        <f>IF(AND(MOD(H932,30)&lt;1.5,MOD(H932,30)&gt;=0.5),H932,0)*VLOOKUP(D932,'报价表-配送'!$B$84:$I$88,4,0)*1000+IF(AND(MOD(H932,30)&lt;0.5,MOD(H932,30)&gt;=0.02),H932,0)*VLOOKUP(D932,'报价表-配送'!$B$84:$I$88,3,0)*1000+IF(AND(MOD(H932,30)&lt;0.02),H932,0)*VLOOKUP(D932,'报价表-配送'!$B$84:$I$88,2,0)*1000</f>
        <v>0</v>
      </c>
      <c r="N932" s="38">
        <f t="shared" si="14"/>
        <v>0</v>
      </c>
    </row>
    <row r="933" spans="1:14" x14ac:dyDescent="0.25">
      <c r="A933" t="s">
        <v>111</v>
      </c>
      <c r="B933" s="43" t="s">
        <v>119</v>
      </c>
      <c r="C933" s="62">
        <f>VLOOKUP(B933,合并仓明细!$D$2:$F$74,3,0)</f>
        <v>156</v>
      </c>
      <c r="D933" t="s">
        <v>413</v>
      </c>
      <c r="E933" s="43" t="s">
        <v>265</v>
      </c>
      <c r="F933" t="s">
        <v>67</v>
      </c>
      <c r="G933">
        <v>1079.7719039999999</v>
      </c>
      <c r="H933">
        <v>1.080251904</v>
      </c>
      <c r="I933" s="38">
        <f>IF(H933&gt;30,QUOTIENT(H933,30)*VLOOKUP(D933,'报价表-配送'!$B$84:$I$88,8,0),0)+IF(AND(MOD(H933,30)&gt;18,MOD(H933,30)&lt;=30),1,0)*VLOOKUP(D933,'报价表-配送'!$B$84:$I$88,8,0)</f>
        <v>0</v>
      </c>
      <c r="J933" s="38">
        <f>IF(AND(MOD(H933,30)&gt;8,MOD(H933,30)&lt;=18),1*VLOOKUP(D933,'报价表-配送'!$B$84:$I$88,7,0),0)</f>
        <v>0</v>
      </c>
      <c r="K933" s="38">
        <f>IF(AND(MOD(H933,30)&lt;=8,MOD(H933,30)&gt;0),1,0)*VLOOKUP(D933,'报价表-配送'!$B$84:$I$88,6,0)</f>
        <v>0</v>
      </c>
      <c r="L933" s="37"/>
      <c r="M933" s="37"/>
      <c r="N933" s="38">
        <f t="shared" si="14"/>
        <v>0</v>
      </c>
    </row>
    <row r="934" spans="1:14" x14ac:dyDescent="0.25">
      <c r="A934" t="s">
        <v>111</v>
      </c>
      <c r="B934" s="43" t="s">
        <v>119</v>
      </c>
      <c r="C934" s="62">
        <f>VLOOKUP(B934,合并仓明细!$D$2:$F$74,3,0)</f>
        <v>156</v>
      </c>
      <c r="D934" t="s">
        <v>413</v>
      </c>
      <c r="E934" s="43" t="s">
        <v>265</v>
      </c>
      <c r="F934" t="s">
        <v>66</v>
      </c>
      <c r="G934">
        <v>0.48</v>
      </c>
      <c r="H934"/>
      <c r="N934" s="38">
        <f t="shared" si="14"/>
        <v>0</v>
      </c>
    </row>
    <row r="935" spans="1:14" x14ac:dyDescent="0.25">
      <c r="A935" t="s">
        <v>111</v>
      </c>
      <c r="B935" s="43" t="s">
        <v>119</v>
      </c>
      <c r="C935" s="62">
        <f>VLOOKUP(B935,合并仓明细!$D$2:$F$74,3,0)</f>
        <v>156</v>
      </c>
      <c r="D935" t="s">
        <v>413</v>
      </c>
      <c r="E935" s="43" t="s">
        <v>315</v>
      </c>
      <c r="F935" t="s">
        <v>66</v>
      </c>
      <c r="G935">
        <v>15.04083333</v>
      </c>
      <c r="H935">
        <v>1.504083333E-2</v>
      </c>
      <c r="L935" s="37">
        <f>IF(H935&gt;30,QUOTIENT(H935,30)*VLOOKUP(D935,'报价表-配送'!$B$84:$I$88,8,0),0)+IF(AND(MOD(H935,30)&gt;18,MOD(H935,30)&lt;=30),1,0)*VLOOKUP(D935,'报价表-配送'!$B$84:$I$88,8,0)+IF(AND(MOD(H935,30)&gt;8,MOD(H935,30)&lt;=18),1*VLOOKUP(D935,'报价表-配送'!$B$84:$I$88,7,0),0)+IF(AND(MOD(H935,30)&lt;=8,MOD(H935,30)&gt;2.5),1,0)*VLOOKUP(D935,'报价表-配送'!$B$84:$I$88,6,0)+IF(AND(MOD(H935,30)&lt;=2.5,MOD(H935,30)&gt;=1.5),1,0)*VLOOKUP(D935,'报价表-配送'!$B$84:$I$88,5,0)</f>
        <v>0</v>
      </c>
      <c r="M935" s="39">
        <f>IF(AND(MOD(H935,30)&lt;1.5,MOD(H935,30)&gt;=0.5),H935,0)*VLOOKUP(D935,'报价表-配送'!$B$84:$I$88,4,0)*1000+IF(AND(MOD(H935,30)&lt;0.5,MOD(H935,30)&gt;=0.02),H935,0)*VLOOKUP(D935,'报价表-配送'!$B$84:$I$88,3,0)*1000+IF(AND(MOD(H935,30)&lt;0.02),H935,0)*VLOOKUP(D935,'报价表-配送'!$B$84:$I$88,2,0)*1000</f>
        <v>0</v>
      </c>
      <c r="N935" s="38">
        <f t="shared" si="14"/>
        <v>0</v>
      </c>
    </row>
    <row r="936" spans="1:14" x14ac:dyDescent="0.25">
      <c r="A936" t="s">
        <v>111</v>
      </c>
      <c r="B936" s="43" t="s">
        <v>119</v>
      </c>
      <c r="C936" s="62">
        <f>VLOOKUP(B936,合并仓明细!$D$2:$F$74,3,0)</f>
        <v>156</v>
      </c>
      <c r="D936" t="s">
        <v>413</v>
      </c>
      <c r="E936" s="43" t="s">
        <v>298</v>
      </c>
      <c r="F936" t="s">
        <v>66</v>
      </c>
      <c r="G936">
        <v>27.884999999999998</v>
      </c>
      <c r="H936">
        <v>2.7884999999999997E-2</v>
      </c>
      <c r="I936" s="38"/>
      <c r="J936" s="38"/>
      <c r="K936" s="38"/>
      <c r="L936" s="37">
        <f>IF(H936&gt;30,QUOTIENT(H936,30)*VLOOKUP(D936,'报价表-配送'!$B$84:$I$88,8,0),0)+IF(AND(MOD(H936,30)&gt;18,MOD(H936,30)&lt;=30),1,0)*VLOOKUP(D936,'报价表-配送'!$B$84:$I$88,8,0)+IF(AND(MOD(H936,30)&gt;8,MOD(H936,30)&lt;=18),1*VLOOKUP(D936,'报价表-配送'!$B$84:$I$88,7,0),0)+IF(AND(MOD(H936,30)&lt;=8,MOD(H936,30)&gt;2.5),1,0)*VLOOKUP(D936,'报价表-配送'!$B$84:$I$88,6,0)+IF(AND(MOD(H936,30)&lt;=2.5,MOD(H936,30)&gt;=1.5),1,0)*VLOOKUP(D936,'报价表-配送'!$B$84:$I$88,5,0)</f>
        <v>0</v>
      </c>
      <c r="M936" s="39">
        <f>IF(AND(MOD(H936,30)&lt;1.5,MOD(H936,30)&gt;=0.5),H936,0)*VLOOKUP(D936,'报价表-配送'!$B$84:$I$88,4,0)*1000+IF(AND(MOD(H936,30)&lt;0.5,MOD(H936,30)&gt;=0.02),H936,0)*VLOOKUP(D936,'报价表-配送'!$B$84:$I$88,3,0)*1000+IF(AND(MOD(H936,30)&lt;0.02),H936,0)*VLOOKUP(D936,'报价表-配送'!$B$84:$I$88,2,0)*1000</f>
        <v>0</v>
      </c>
      <c r="N936" s="38">
        <f t="shared" si="14"/>
        <v>0</v>
      </c>
    </row>
    <row r="937" spans="1:14" x14ac:dyDescent="0.25">
      <c r="A937" t="s">
        <v>111</v>
      </c>
      <c r="B937" s="43" t="s">
        <v>119</v>
      </c>
      <c r="C937" s="62">
        <f>VLOOKUP(B937,合并仓明细!$D$2:$F$74,3,0)</f>
        <v>156</v>
      </c>
      <c r="D937" t="s">
        <v>413</v>
      </c>
      <c r="E937" s="43" t="s">
        <v>356</v>
      </c>
      <c r="F937" t="s">
        <v>66</v>
      </c>
      <c r="G937">
        <v>6.5</v>
      </c>
      <c r="H937">
        <v>6.4999999999999997E-3</v>
      </c>
      <c r="L937" s="37">
        <f>IF(H937&gt;30,QUOTIENT(H937,30)*VLOOKUP(D937,'报价表-配送'!$B$84:$I$88,8,0),0)+IF(AND(MOD(H937,30)&gt;18,MOD(H937,30)&lt;=30),1,0)*VLOOKUP(D937,'报价表-配送'!$B$84:$I$88,8,0)+IF(AND(MOD(H937,30)&gt;8,MOD(H937,30)&lt;=18),1*VLOOKUP(D937,'报价表-配送'!$B$84:$I$88,7,0),0)+IF(AND(MOD(H937,30)&lt;=8,MOD(H937,30)&gt;2.5),1,0)*VLOOKUP(D937,'报价表-配送'!$B$84:$I$88,6,0)+IF(AND(MOD(H937,30)&lt;=2.5,MOD(H937,30)&gt;=1.5),1,0)*VLOOKUP(D937,'报价表-配送'!$B$84:$I$88,5,0)</f>
        <v>0</v>
      </c>
      <c r="M937" s="39">
        <f>IF(AND(MOD(H937,30)&lt;1.5,MOD(H937,30)&gt;=0.5),H937,0)*VLOOKUP(D937,'报价表-配送'!$B$84:$I$88,4,0)*1000+IF(AND(MOD(H937,30)&lt;0.5,MOD(H937,30)&gt;=0.02),H937,0)*VLOOKUP(D937,'报价表-配送'!$B$84:$I$88,3,0)*1000+IF(AND(MOD(H937,30)&lt;0.02),H937,0)*VLOOKUP(D937,'报价表-配送'!$B$84:$I$88,2,0)*1000</f>
        <v>0</v>
      </c>
      <c r="N937" s="38">
        <f t="shared" si="14"/>
        <v>0</v>
      </c>
    </row>
    <row r="938" spans="1:14" x14ac:dyDescent="0.25">
      <c r="A938" t="s">
        <v>111</v>
      </c>
      <c r="B938" s="43" t="s">
        <v>120</v>
      </c>
      <c r="C938" s="62">
        <f>VLOOKUP(B938,合并仓明细!$D$2:$F$74,3,0)</f>
        <v>186</v>
      </c>
      <c r="D938" t="s">
        <v>413</v>
      </c>
      <c r="E938" s="43" t="s">
        <v>261</v>
      </c>
      <c r="F938" t="s">
        <v>68</v>
      </c>
      <c r="G938">
        <v>1202.508</v>
      </c>
      <c r="H938">
        <v>1.5377401002000002</v>
      </c>
      <c r="I938" s="46">
        <f>ROUNDUP(H938/30,0)*VLOOKUP(D938,'报价表-配送'!$B$84:$I$88,8,0)</f>
        <v>0</v>
      </c>
      <c r="J938" s="37"/>
      <c r="K938" s="37"/>
      <c r="L938" s="37"/>
      <c r="M938" s="37"/>
      <c r="N938" s="38">
        <f t="shared" si="14"/>
        <v>0</v>
      </c>
    </row>
    <row r="939" spans="1:14" x14ac:dyDescent="0.25">
      <c r="A939" t="s">
        <v>111</v>
      </c>
      <c r="B939" s="43" t="s">
        <v>120</v>
      </c>
      <c r="C939" s="62">
        <f>VLOOKUP(B939,合并仓明细!$D$2:$F$74,3,0)</f>
        <v>186</v>
      </c>
      <c r="D939" t="s">
        <v>413</v>
      </c>
      <c r="E939" s="43" t="s">
        <v>261</v>
      </c>
      <c r="F939" t="s">
        <v>66</v>
      </c>
      <c r="G939">
        <v>335.23210019999999</v>
      </c>
      <c r="H939"/>
      <c r="N939" s="38">
        <f t="shared" si="14"/>
        <v>0</v>
      </c>
    </row>
    <row r="940" spans="1:14" x14ac:dyDescent="0.25">
      <c r="A940" t="s">
        <v>111</v>
      </c>
      <c r="B940" s="43" t="s">
        <v>120</v>
      </c>
      <c r="C940" s="62">
        <f>VLOOKUP(B940,合并仓明细!$D$2:$F$74,3,0)</f>
        <v>186</v>
      </c>
      <c r="D940" t="s">
        <v>413</v>
      </c>
      <c r="E940" s="43" t="s">
        <v>307</v>
      </c>
      <c r="F940" t="s">
        <v>66</v>
      </c>
      <c r="G940">
        <v>139.24333332000003</v>
      </c>
      <c r="H940">
        <v>0.13924333332000002</v>
      </c>
      <c r="L940" s="37">
        <f>IF(H940&gt;30,QUOTIENT(H940,30)*VLOOKUP(D940,'报价表-配送'!$B$84:$I$88,8,0),0)+IF(AND(MOD(H940,30)&gt;18,MOD(H940,30)&lt;=30),1,0)*VLOOKUP(D940,'报价表-配送'!$B$84:$I$88,8,0)+IF(AND(MOD(H940,30)&gt;8,MOD(H940,30)&lt;=18),1*VLOOKUP(D940,'报价表-配送'!$B$84:$I$88,7,0),0)+IF(AND(MOD(H940,30)&lt;=8,MOD(H940,30)&gt;2.5),1,0)*VLOOKUP(D940,'报价表-配送'!$B$84:$I$88,6,0)+IF(AND(MOD(H940,30)&lt;=2.5,MOD(H940,30)&gt;=1.5),1,0)*VLOOKUP(D940,'报价表-配送'!$B$84:$I$88,5,0)</f>
        <v>0</v>
      </c>
      <c r="M940" s="39">
        <f>IF(AND(MOD(H940,30)&lt;1.5,MOD(H940,30)&gt;=0.5),H940,0)*VLOOKUP(D940,'报价表-配送'!$B$84:$I$88,4,0)*1000+IF(AND(MOD(H940,30)&lt;0.5,MOD(H940,30)&gt;=0.02),H940,0)*VLOOKUP(D940,'报价表-配送'!$B$84:$I$88,3,0)*1000+IF(AND(MOD(H940,30)&lt;0.02),H940,0)*VLOOKUP(D940,'报价表-配送'!$B$84:$I$88,2,0)*1000</f>
        <v>0</v>
      </c>
      <c r="N940" s="38">
        <f t="shared" si="14"/>
        <v>0</v>
      </c>
    </row>
    <row r="941" spans="1:14" x14ac:dyDescent="0.25">
      <c r="A941" t="s">
        <v>111</v>
      </c>
      <c r="B941" s="43" t="s">
        <v>120</v>
      </c>
      <c r="C941" s="62">
        <f>VLOOKUP(B941,合并仓明细!$D$2:$F$74,3,0)</f>
        <v>186</v>
      </c>
      <c r="D941" t="s">
        <v>413</v>
      </c>
      <c r="E941" s="43" t="s">
        <v>334</v>
      </c>
      <c r="F941" t="s">
        <v>68</v>
      </c>
      <c r="G941">
        <v>114.6426</v>
      </c>
      <c r="H941">
        <v>0.73787218334000015</v>
      </c>
      <c r="I941" s="46">
        <f>ROUNDUP(H941/30,0)*VLOOKUP(D941,'报价表-配送'!$B$84:$I$88,8,0)</f>
        <v>0</v>
      </c>
      <c r="J941" s="37"/>
      <c r="K941" s="37"/>
      <c r="L941" s="37"/>
      <c r="M941" s="37"/>
      <c r="N941" s="38">
        <f t="shared" si="14"/>
        <v>0</v>
      </c>
    </row>
    <row r="942" spans="1:14" x14ac:dyDescent="0.25">
      <c r="A942" t="s">
        <v>111</v>
      </c>
      <c r="B942" s="43" t="s">
        <v>120</v>
      </c>
      <c r="C942" s="62">
        <f>VLOOKUP(B942,合并仓明细!$D$2:$F$74,3,0)</f>
        <v>186</v>
      </c>
      <c r="D942" t="s">
        <v>413</v>
      </c>
      <c r="E942" s="43" t="s">
        <v>334</v>
      </c>
      <c r="F942" t="s">
        <v>66</v>
      </c>
      <c r="G942">
        <v>623.22958334000009</v>
      </c>
      <c r="H942"/>
      <c r="N942" s="38">
        <f t="shared" si="14"/>
        <v>0</v>
      </c>
    </row>
    <row r="943" spans="1:14" x14ac:dyDescent="0.25">
      <c r="A943" t="s">
        <v>111</v>
      </c>
      <c r="B943" s="45" t="s">
        <v>120</v>
      </c>
      <c r="C943" s="62">
        <f>VLOOKUP(B943,合并仓明细!$D$2:$F$74,3,0)</f>
        <v>186</v>
      </c>
      <c r="D943" t="s">
        <v>413</v>
      </c>
      <c r="E943" s="43" t="s">
        <v>267</v>
      </c>
      <c r="F943" t="s">
        <v>66</v>
      </c>
      <c r="G943">
        <v>29.39</v>
      </c>
      <c r="H943">
        <v>2.9389999999999999E-2</v>
      </c>
      <c r="L943" s="37">
        <f>IF(H943&gt;30,QUOTIENT(H943,30)*VLOOKUP(D943,'报价表-配送'!$B$84:$I$88,8,0),0)+IF(AND(MOD(H943,30)&gt;18,MOD(H943,30)&lt;=30),1,0)*VLOOKUP(D943,'报价表-配送'!$B$84:$I$88,8,0)+IF(AND(MOD(H943,30)&gt;8,MOD(H943,30)&lt;=18),1*VLOOKUP(D943,'报价表-配送'!$B$84:$I$88,7,0),0)+IF(AND(MOD(H943,30)&lt;=8,MOD(H943,30)&gt;2.5),1,0)*VLOOKUP(D943,'报价表-配送'!$B$84:$I$88,6,0)+IF(AND(MOD(H943,30)&lt;=2.5,MOD(H943,30)&gt;=1.5),1,0)*VLOOKUP(D943,'报价表-配送'!$B$84:$I$88,5,0)</f>
        <v>0</v>
      </c>
      <c r="M943" s="39">
        <f>IF(AND(MOD(H943,30)&lt;1.5,MOD(H943,30)&gt;=0.5),H943,0)*VLOOKUP(D943,'报价表-配送'!$B$84:$I$88,4,0)*1000+IF(AND(MOD(H943,30)&lt;0.5,MOD(H943,30)&gt;=0.02),H943,0)*VLOOKUP(D943,'报价表-配送'!$B$84:$I$88,3,0)*1000+IF(AND(MOD(H943,30)&lt;0.02),H943,0)*VLOOKUP(D943,'报价表-配送'!$B$84:$I$88,2,0)*1000</f>
        <v>0</v>
      </c>
      <c r="N943" s="38">
        <f t="shared" si="14"/>
        <v>0</v>
      </c>
    </row>
    <row r="944" spans="1:14" x14ac:dyDescent="0.25">
      <c r="A944" t="s">
        <v>111</v>
      </c>
      <c r="B944" t="s">
        <v>120</v>
      </c>
      <c r="C944" s="62">
        <f>VLOOKUP(B944,合并仓明细!$D$2:$F$74,3,0)</f>
        <v>186</v>
      </c>
      <c r="D944" t="s">
        <v>413</v>
      </c>
      <c r="E944" t="s">
        <v>268</v>
      </c>
      <c r="F944" t="s">
        <v>66</v>
      </c>
      <c r="G944">
        <v>152</v>
      </c>
      <c r="H944">
        <v>0.152</v>
      </c>
      <c r="K944" s="1"/>
      <c r="L944" s="37">
        <f>IF(H944&gt;30,QUOTIENT(H944,30)*VLOOKUP(D944,'报价表-配送'!$B$84:$I$88,8,0),0)+IF(AND(MOD(H944,30)&gt;18,MOD(H944,30)&lt;=30),1,0)*VLOOKUP(D944,'报价表-配送'!$B$84:$I$88,8,0)+IF(AND(MOD(H944,30)&gt;8,MOD(H944,30)&lt;=18),1*VLOOKUP(D944,'报价表-配送'!$B$84:$I$88,7,0),0)+IF(AND(MOD(H944,30)&lt;=8,MOD(H944,30)&gt;2.5),1,0)*VLOOKUP(D944,'报价表-配送'!$B$84:$I$88,6,0)+IF(AND(MOD(H944,30)&lt;=2.5,MOD(H944,30)&gt;=1.5),1,0)*VLOOKUP(D944,'报价表-配送'!$B$84:$I$88,5,0)</f>
        <v>0</v>
      </c>
      <c r="M944" s="39">
        <f>IF(AND(MOD(H944,30)&lt;1.5,MOD(H944,30)&gt;=0.5),H944,0)*VLOOKUP(D944,'报价表-配送'!$B$84:$I$88,4,0)*1000+IF(AND(MOD(H944,30)&lt;0.5,MOD(H944,30)&gt;=0.02),H944,0)*VLOOKUP(D944,'报价表-配送'!$B$84:$I$88,3,0)*1000+IF(AND(MOD(H944,30)&lt;0.02),H944,0)*VLOOKUP(D944,'报价表-配送'!$B$84:$I$88,2,0)*1000</f>
        <v>0</v>
      </c>
      <c r="N944" s="38">
        <f t="shared" si="14"/>
        <v>0</v>
      </c>
    </row>
    <row r="945" spans="1:14" x14ac:dyDescent="0.25">
      <c r="A945" t="s">
        <v>111</v>
      </c>
      <c r="B945" t="s">
        <v>120</v>
      </c>
      <c r="C945" s="62">
        <f>VLOOKUP(B945,合并仓明细!$D$2:$F$74,3,0)</f>
        <v>186</v>
      </c>
      <c r="D945" t="s">
        <v>413</v>
      </c>
      <c r="E945" t="s">
        <v>271</v>
      </c>
      <c r="F945" t="s">
        <v>66</v>
      </c>
      <c r="G945" s="103">
        <v>520.94500000000005</v>
      </c>
      <c r="H945" s="103">
        <v>0.52094499999999999</v>
      </c>
      <c r="I945" s="38"/>
      <c r="J945" s="38"/>
      <c r="K945" s="38"/>
      <c r="L945" s="37">
        <f>IF(H945&gt;30,QUOTIENT(H945,30)*VLOOKUP(D945,'报价表-配送'!$B$84:$I$88,8,0),0)+IF(AND(MOD(H945,30)&gt;18,MOD(H945,30)&lt;=30),1,0)*VLOOKUP(D945,'报价表-配送'!$B$84:$I$88,8,0)+IF(AND(MOD(H945,30)&gt;8,MOD(H945,30)&lt;=18),1*VLOOKUP(D945,'报价表-配送'!$B$84:$I$88,7,0),0)+IF(AND(MOD(H945,30)&lt;=8,MOD(H945,30)&gt;2.5),1,0)*VLOOKUP(D945,'报价表-配送'!$B$84:$I$88,6,0)+IF(AND(MOD(H945,30)&lt;=2.5,MOD(H945,30)&gt;=1.5),1,0)*VLOOKUP(D945,'报价表-配送'!$B$84:$I$88,5,0)</f>
        <v>0</v>
      </c>
      <c r="M945" s="39">
        <f>IF(AND(MOD(H945,30)&lt;1.5,MOD(H945,30)&gt;=0.5),H945,0)*VLOOKUP(D945,'报价表-配送'!$B$84:$I$88,4,0)*1000+IF(AND(MOD(H945,30)&lt;0.5,MOD(H945,30)&gt;=0.02),H945,0)*VLOOKUP(D945,'报价表-配送'!$B$84:$I$88,3,0)*1000+IF(AND(MOD(H945,30)&lt;0.02),H945,0)*VLOOKUP(D945,'报价表-配送'!$B$84:$I$88,2,0)*1000</f>
        <v>0</v>
      </c>
      <c r="N945" s="38">
        <f t="shared" si="14"/>
        <v>0</v>
      </c>
    </row>
    <row r="946" spans="1:14" x14ac:dyDescent="0.25">
      <c r="A946" t="s">
        <v>111</v>
      </c>
      <c r="B946" t="s">
        <v>120</v>
      </c>
      <c r="C946" s="62">
        <f>VLOOKUP(B946,合并仓明细!$D$2:$F$74,3,0)</f>
        <v>186</v>
      </c>
      <c r="D946" t="s">
        <v>413</v>
      </c>
      <c r="E946" t="s">
        <v>259</v>
      </c>
      <c r="F946" t="s">
        <v>66</v>
      </c>
      <c r="G946">
        <v>63.769999999999996</v>
      </c>
      <c r="H946">
        <v>6.3769999999999993E-2</v>
      </c>
      <c r="K946" s="1"/>
      <c r="L946" s="37">
        <f>IF(H946&gt;30,QUOTIENT(H946,30)*VLOOKUP(D946,'报价表-配送'!$B$84:$I$88,8,0),0)+IF(AND(MOD(H946,30)&gt;18,MOD(H946,30)&lt;=30),1,0)*VLOOKUP(D946,'报价表-配送'!$B$84:$I$88,8,0)+IF(AND(MOD(H946,30)&gt;8,MOD(H946,30)&lt;=18),1*VLOOKUP(D946,'报价表-配送'!$B$84:$I$88,7,0),0)+IF(AND(MOD(H946,30)&lt;=8,MOD(H946,30)&gt;2.5),1,0)*VLOOKUP(D946,'报价表-配送'!$B$84:$I$88,6,0)+IF(AND(MOD(H946,30)&lt;=2.5,MOD(H946,30)&gt;=1.5),1,0)*VLOOKUP(D946,'报价表-配送'!$B$84:$I$88,5,0)</f>
        <v>0</v>
      </c>
      <c r="M946" s="39">
        <f>IF(AND(MOD(H946,30)&lt;1.5,MOD(H946,30)&gt;=0.5),H946,0)*VLOOKUP(D946,'报价表-配送'!$B$84:$I$88,4,0)*1000+IF(AND(MOD(H946,30)&lt;0.5,MOD(H946,30)&gt;=0.02),H946,0)*VLOOKUP(D946,'报价表-配送'!$B$84:$I$88,3,0)*1000+IF(AND(MOD(H946,30)&lt;0.02),H946,0)*VLOOKUP(D946,'报价表-配送'!$B$84:$I$88,2,0)*1000</f>
        <v>0</v>
      </c>
      <c r="N946" s="38">
        <f t="shared" si="14"/>
        <v>0</v>
      </c>
    </row>
    <row r="947" spans="1:14" x14ac:dyDescent="0.25">
      <c r="A947" t="s">
        <v>111</v>
      </c>
      <c r="B947" t="s">
        <v>120</v>
      </c>
      <c r="C947" s="62">
        <f>VLOOKUP(B947,合并仓明细!$D$2:$F$74,3,0)</f>
        <v>186</v>
      </c>
      <c r="D947" t="s">
        <v>413</v>
      </c>
      <c r="E947" t="s">
        <v>273</v>
      </c>
      <c r="F947" t="s">
        <v>67</v>
      </c>
      <c r="G947">
        <v>1783.6186687999998</v>
      </c>
      <c r="H947">
        <v>1.9065186688</v>
      </c>
      <c r="I947" s="38">
        <f>IF(H947&gt;30,QUOTIENT(H947,30)*VLOOKUP(D947,'报价表-配送'!$B$84:$I$88,8,0),0)+IF(AND(MOD(H947,30)&gt;18,MOD(H947,30)&lt;=30),1,0)*VLOOKUP(D947,'报价表-配送'!$B$84:$I$88,8,0)</f>
        <v>0</v>
      </c>
      <c r="J947" s="38">
        <f>IF(AND(MOD(H947,30)&gt;8,MOD(H947,30)&lt;=18),1*VLOOKUP(D947,'报价表-配送'!$B$84:$I$88,7,0),0)</f>
        <v>0</v>
      </c>
      <c r="K947" s="38">
        <f>IF(AND(MOD(H947,30)&lt;=8,MOD(H947,30)&gt;0),1,0)*VLOOKUP(D947,'报价表-配送'!$B$84:$I$88,6,0)</f>
        <v>0</v>
      </c>
      <c r="L947" s="37"/>
      <c r="M947" s="39"/>
      <c r="N947" s="38">
        <f t="shared" si="14"/>
        <v>0</v>
      </c>
    </row>
    <row r="948" spans="1:14" x14ac:dyDescent="0.25">
      <c r="A948" t="s">
        <v>111</v>
      </c>
      <c r="B948" t="s">
        <v>120</v>
      </c>
      <c r="C948" s="62">
        <f>VLOOKUP(B948,合并仓明细!$D$2:$F$74,3,0)</f>
        <v>186</v>
      </c>
      <c r="D948" t="s">
        <v>413</v>
      </c>
      <c r="E948" t="s">
        <v>273</v>
      </c>
      <c r="F948" t="s">
        <v>66</v>
      </c>
      <c r="G948">
        <v>122.9</v>
      </c>
      <c r="H948"/>
      <c r="I948" s="38"/>
      <c r="J948" s="38"/>
      <c r="K948" s="38"/>
      <c r="L948" s="37"/>
      <c r="M948" s="39"/>
      <c r="N948" s="38">
        <f t="shared" si="14"/>
        <v>0</v>
      </c>
    </row>
    <row r="949" spans="1:14" x14ac:dyDescent="0.25">
      <c r="A949" t="s">
        <v>111</v>
      </c>
      <c r="B949" t="s">
        <v>120</v>
      </c>
      <c r="C949" s="62">
        <f>VLOOKUP(B949,合并仓明细!$D$2:$F$74,3,0)</f>
        <v>186</v>
      </c>
      <c r="D949" t="s">
        <v>413</v>
      </c>
      <c r="E949" t="s">
        <v>351</v>
      </c>
      <c r="F949" t="s">
        <v>66</v>
      </c>
      <c r="G949">
        <v>147.05000000000001</v>
      </c>
      <c r="H949">
        <v>0.14705000000000001</v>
      </c>
      <c r="K949" s="1"/>
      <c r="L949" s="37">
        <f>IF(H949&gt;30,QUOTIENT(H949,30)*VLOOKUP(D949,'报价表-配送'!$B$84:$I$88,8,0),0)+IF(AND(MOD(H949,30)&gt;18,MOD(H949,30)&lt;=30),1,0)*VLOOKUP(D949,'报价表-配送'!$B$84:$I$88,8,0)+IF(AND(MOD(H949,30)&gt;8,MOD(H949,30)&lt;=18),1*VLOOKUP(D949,'报价表-配送'!$B$84:$I$88,7,0),0)+IF(AND(MOD(H949,30)&lt;=8,MOD(H949,30)&gt;2.5),1,0)*VLOOKUP(D949,'报价表-配送'!$B$84:$I$88,6,0)+IF(AND(MOD(H949,30)&lt;=2.5,MOD(H949,30)&gt;=1.5),1,0)*VLOOKUP(D949,'报价表-配送'!$B$84:$I$88,5,0)</f>
        <v>0</v>
      </c>
      <c r="M949" s="39">
        <f>IF(AND(MOD(H949,30)&lt;1.5,MOD(H949,30)&gt;=0.5),H949,0)*VLOOKUP(D949,'报价表-配送'!$B$84:$I$88,4,0)*1000+IF(AND(MOD(H949,30)&lt;0.5,MOD(H949,30)&gt;=0.02),H949,0)*VLOOKUP(D949,'报价表-配送'!$B$84:$I$88,3,0)*1000+IF(AND(MOD(H949,30)&lt;0.02),H949,0)*VLOOKUP(D949,'报价表-配送'!$B$84:$I$88,2,0)*1000</f>
        <v>0</v>
      </c>
      <c r="N949" s="38">
        <f t="shared" si="14"/>
        <v>0</v>
      </c>
    </row>
    <row r="950" spans="1:14" x14ac:dyDescent="0.25">
      <c r="A950" t="s">
        <v>111</v>
      </c>
      <c r="B950" t="s">
        <v>120</v>
      </c>
      <c r="C950" s="62">
        <f>VLOOKUP(B950,合并仓明细!$D$2:$F$74,3,0)</f>
        <v>186</v>
      </c>
      <c r="D950" t="s">
        <v>413</v>
      </c>
      <c r="E950" t="s">
        <v>310</v>
      </c>
      <c r="F950" t="s">
        <v>66</v>
      </c>
      <c r="G950">
        <v>12.004999999999999</v>
      </c>
      <c r="H950">
        <v>1.2004999999999998E-2</v>
      </c>
      <c r="I950" s="46"/>
      <c r="J950" s="38"/>
      <c r="K950" s="38"/>
      <c r="L950" s="37">
        <f>IF(H950&gt;30,QUOTIENT(H950,30)*VLOOKUP(D950,'报价表-配送'!$B$84:$I$88,8,0),0)+IF(AND(MOD(H950,30)&gt;18,MOD(H950,30)&lt;=30),1,0)*VLOOKUP(D950,'报价表-配送'!$B$84:$I$88,8,0)+IF(AND(MOD(H950,30)&gt;8,MOD(H950,30)&lt;=18),1*VLOOKUP(D950,'报价表-配送'!$B$84:$I$88,7,0),0)+IF(AND(MOD(H950,30)&lt;=8,MOD(H950,30)&gt;2.5),1,0)*VLOOKUP(D950,'报价表-配送'!$B$84:$I$88,6,0)+IF(AND(MOD(H950,30)&lt;=2.5,MOD(H950,30)&gt;=1.5),1,0)*VLOOKUP(D950,'报价表-配送'!$B$84:$I$88,5,0)</f>
        <v>0</v>
      </c>
      <c r="M950" s="39">
        <f>IF(AND(MOD(H950,30)&lt;1.5,MOD(H950,30)&gt;=0.5),H950,0)*VLOOKUP(D950,'报价表-配送'!$B$84:$I$88,4,0)*1000+IF(AND(MOD(H950,30)&lt;0.5,MOD(H950,30)&gt;=0.02),H950,0)*VLOOKUP(D950,'报价表-配送'!$B$84:$I$88,3,0)*1000+IF(AND(MOD(H950,30)&lt;0.02),H950,0)*VLOOKUP(D950,'报价表-配送'!$B$84:$I$88,2,0)*1000</f>
        <v>0</v>
      </c>
      <c r="N950" s="38">
        <f t="shared" si="14"/>
        <v>0</v>
      </c>
    </row>
    <row r="951" spans="1:14" x14ac:dyDescent="0.25">
      <c r="A951" t="s">
        <v>111</v>
      </c>
      <c r="B951" t="s">
        <v>120</v>
      </c>
      <c r="C951" s="62">
        <f>VLOOKUP(B951,合并仓明细!$D$2:$F$74,3,0)</f>
        <v>186</v>
      </c>
      <c r="D951" t="s">
        <v>413</v>
      </c>
      <c r="E951" t="s">
        <v>277</v>
      </c>
      <c r="F951" t="s">
        <v>66</v>
      </c>
      <c r="G951">
        <v>40.769999999999996</v>
      </c>
      <c r="H951">
        <v>4.0769999999999994E-2</v>
      </c>
      <c r="K951" s="1"/>
      <c r="L951" s="37">
        <f>IF(H951&gt;30,QUOTIENT(H951,30)*VLOOKUP(D951,'报价表-配送'!$B$84:$I$88,8,0),0)+IF(AND(MOD(H951,30)&gt;18,MOD(H951,30)&lt;=30),1,0)*VLOOKUP(D951,'报价表-配送'!$B$84:$I$88,8,0)+IF(AND(MOD(H951,30)&gt;8,MOD(H951,30)&lt;=18),1*VLOOKUP(D951,'报价表-配送'!$B$84:$I$88,7,0),0)+IF(AND(MOD(H951,30)&lt;=8,MOD(H951,30)&gt;2.5),1,0)*VLOOKUP(D951,'报价表-配送'!$B$84:$I$88,6,0)+IF(AND(MOD(H951,30)&lt;=2.5,MOD(H951,30)&gt;=1.5),1,0)*VLOOKUP(D951,'报价表-配送'!$B$84:$I$88,5,0)</f>
        <v>0</v>
      </c>
      <c r="M951" s="39">
        <f>IF(AND(MOD(H951,30)&lt;1.5,MOD(H951,30)&gt;=0.5),H951,0)*VLOOKUP(D951,'报价表-配送'!$B$84:$I$88,4,0)*1000+IF(AND(MOD(H951,30)&lt;0.5,MOD(H951,30)&gt;=0.02),H951,0)*VLOOKUP(D951,'报价表-配送'!$B$84:$I$88,3,0)*1000+IF(AND(MOD(H951,30)&lt;0.02),H951,0)*VLOOKUP(D951,'报价表-配送'!$B$84:$I$88,2,0)*1000</f>
        <v>0</v>
      </c>
      <c r="N951" s="38">
        <f t="shared" si="14"/>
        <v>0</v>
      </c>
    </row>
    <row r="952" spans="1:14" x14ac:dyDescent="0.25">
      <c r="A952" t="s">
        <v>111</v>
      </c>
      <c r="B952" t="s">
        <v>120</v>
      </c>
      <c r="C952" s="62">
        <f>VLOOKUP(B952,合并仓明细!$D$2:$F$74,3,0)</f>
        <v>186</v>
      </c>
      <c r="D952" t="s">
        <v>413</v>
      </c>
      <c r="E952" t="s">
        <v>281</v>
      </c>
      <c r="F952" t="s">
        <v>66</v>
      </c>
      <c r="G952">
        <v>4.4749999999999996</v>
      </c>
      <c r="H952">
        <v>4.4749999999999998E-3</v>
      </c>
      <c r="I952" s="46"/>
      <c r="J952" s="38"/>
      <c r="K952" s="38"/>
      <c r="L952" s="37">
        <f>IF(H952&gt;30,QUOTIENT(H952,30)*VLOOKUP(D952,'报价表-配送'!$B$84:$I$88,8,0),0)+IF(AND(MOD(H952,30)&gt;18,MOD(H952,30)&lt;=30),1,0)*VLOOKUP(D952,'报价表-配送'!$B$84:$I$88,8,0)+IF(AND(MOD(H952,30)&gt;8,MOD(H952,30)&lt;=18),1*VLOOKUP(D952,'报价表-配送'!$B$84:$I$88,7,0),0)+IF(AND(MOD(H952,30)&lt;=8,MOD(H952,30)&gt;2.5),1,0)*VLOOKUP(D952,'报价表-配送'!$B$84:$I$88,6,0)+IF(AND(MOD(H952,30)&lt;=2.5,MOD(H952,30)&gt;=1.5),1,0)*VLOOKUP(D952,'报价表-配送'!$B$84:$I$88,5,0)</f>
        <v>0</v>
      </c>
      <c r="M952" s="39">
        <f>IF(AND(MOD(H952,30)&lt;1.5,MOD(H952,30)&gt;=0.5),H952,0)*VLOOKUP(D952,'报价表-配送'!$B$84:$I$88,4,0)*1000+IF(AND(MOD(H952,30)&lt;0.5,MOD(H952,30)&gt;=0.02),H952,0)*VLOOKUP(D952,'报价表-配送'!$B$84:$I$88,3,0)*1000+IF(AND(MOD(H952,30)&lt;0.02),H952,0)*VLOOKUP(D952,'报价表-配送'!$B$84:$I$88,2,0)*1000</f>
        <v>0</v>
      </c>
      <c r="N952" s="38">
        <f t="shared" si="14"/>
        <v>0</v>
      </c>
    </row>
    <row r="953" spans="1:14" x14ac:dyDescent="0.25">
      <c r="A953" t="s">
        <v>111</v>
      </c>
      <c r="B953" t="s">
        <v>120</v>
      </c>
      <c r="C953" s="62">
        <f>VLOOKUP(B953,合并仓明细!$D$2:$F$74,3,0)</f>
        <v>186</v>
      </c>
      <c r="D953" t="s">
        <v>413</v>
      </c>
      <c r="E953" t="s">
        <v>285</v>
      </c>
      <c r="F953" t="s">
        <v>66</v>
      </c>
      <c r="G953">
        <v>88.726666649999999</v>
      </c>
      <c r="H953">
        <v>8.8726666649999994E-2</v>
      </c>
      <c r="K953" s="1"/>
      <c r="L953" s="37">
        <f>IF(H953&gt;30,QUOTIENT(H953,30)*VLOOKUP(D953,'报价表-配送'!$B$84:$I$88,8,0),0)+IF(AND(MOD(H953,30)&gt;18,MOD(H953,30)&lt;=30),1,0)*VLOOKUP(D953,'报价表-配送'!$B$84:$I$88,8,0)+IF(AND(MOD(H953,30)&gt;8,MOD(H953,30)&lt;=18),1*VLOOKUP(D953,'报价表-配送'!$B$84:$I$88,7,0),0)+IF(AND(MOD(H953,30)&lt;=8,MOD(H953,30)&gt;2.5),1,0)*VLOOKUP(D953,'报价表-配送'!$B$84:$I$88,6,0)+IF(AND(MOD(H953,30)&lt;=2.5,MOD(H953,30)&gt;=1.5),1,0)*VLOOKUP(D953,'报价表-配送'!$B$84:$I$88,5,0)</f>
        <v>0</v>
      </c>
      <c r="M953" s="39">
        <f>IF(AND(MOD(H953,30)&lt;1.5,MOD(H953,30)&gt;=0.5),H953,0)*VLOOKUP(D953,'报价表-配送'!$B$84:$I$88,4,0)*1000+IF(AND(MOD(H953,30)&lt;0.5,MOD(H953,30)&gt;=0.02),H953,0)*VLOOKUP(D953,'报价表-配送'!$B$84:$I$88,3,0)*1000+IF(AND(MOD(H953,30)&lt;0.02),H953,0)*VLOOKUP(D953,'报价表-配送'!$B$84:$I$88,2,0)*1000</f>
        <v>0</v>
      </c>
      <c r="N953" s="38">
        <f t="shared" si="14"/>
        <v>0</v>
      </c>
    </row>
    <row r="954" spans="1:14" x14ac:dyDescent="0.25">
      <c r="A954" t="s">
        <v>111</v>
      </c>
      <c r="B954" t="s">
        <v>120</v>
      </c>
      <c r="C954" s="62">
        <f>VLOOKUP(B954,合并仓明细!$D$2:$F$74,3,0)</f>
        <v>186</v>
      </c>
      <c r="D954" t="s">
        <v>413</v>
      </c>
      <c r="E954" t="s">
        <v>286</v>
      </c>
      <c r="F954" t="s">
        <v>68</v>
      </c>
      <c r="G954">
        <v>465.96000000000004</v>
      </c>
      <c r="H954">
        <v>0.9873593665999999</v>
      </c>
      <c r="I954" s="46">
        <f>ROUNDUP(H954/30,0)*VLOOKUP(D954,'报价表-配送'!$B$84:$I$88,8,0)</f>
        <v>0</v>
      </c>
      <c r="K954" s="1"/>
      <c r="L954" s="33"/>
      <c r="M954" s="1"/>
      <c r="N954" s="38">
        <f t="shared" si="14"/>
        <v>0</v>
      </c>
    </row>
    <row r="955" spans="1:14" x14ac:dyDescent="0.25">
      <c r="A955" t="s">
        <v>111</v>
      </c>
      <c r="B955" t="s">
        <v>120</v>
      </c>
      <c r="C955" s="62">
        <f>VLOOKUP(B955,合并仓明细!$D$2:$F$74,3,0)</f>
        <v>186</v>
      </c>
      <c r="D955" t="s">
        <v>413</v>
      </c>
      <c r="E955" t="s">
        <v>286</v>
      </c>
      <c r="F955" t="s">
        <v>67</v>
      </c>
      <c r="G955">
        <v>406.00020000000001</v>
      </c>
      <c r="H955"/>
      <c r="I955" s="38"/>
      <c r="J955" s="38"/>
      <c r="K955" s="38"/>
      <c r="L955" s="37"/>
      <c r="M955" s="39"/>
      <c r="N955" s="38">
        <f t="shared" si="14"/>
        <v>0</v>
      </c>
    </row>
    <row r="956" spans="1:14" x14ac:dyDescent="0.25">
      <c r="A956" t="s">
        <v>111</v>
      </c>
      <c r="B956" t="s">
        <v>120</v>
      </c>
      <c r="C956" s="62">
        <f>VLOOKUP(B956,合并仓明细!$D$2:$F$74,3,0)</f>
        <v>186</v>
      </c>
      <c r="D956" t="s">
        <v>413</v>
      </c>
      <c r="E956" t="s">
        <v>286</v>
      </c>
      <c r="F956" t="s">
        <v>66</v>
      </c>
      <c r="G956">
        <v>115.39916659999999</v>
      </c>
      <c r="H956"/>
      <c r="K956" s="1"/>
      <c r="L956" s="33"/>
      <c r="M956" s="1"/>
      <c r="N956" s="38">
        <f t="shared" si="14"/>
        <v>0</v>
      </c>
    </row>
    <row r="957" spans="1:14" x14ac:dyDescent="0.25">
      <c r="A957" t="s">
        <v>111</v>
      </c>
      <c r="B957" t="s">
        <v>120</v>
      </c>
      <c r="C957" s="62">
        <f>VLOOKUP(B957,合并仓明细!$D$2:$F$74,3,0)</f>
        <v>186</v>
      </c>
      <c r="D957" t="s">
        <v>413</v>
      </c>
      <c r="E957" t="s">
        <v>290</v>
      </c>
      <c r="F957" t="s">
        <v>68</v>
      </c>
      <c r="G957">
        <v>2267.8078399999999</v>
      </c>
      <c r="H957">
        <v>5.658379867999999</v>
      </c>
      <c r="I957" s="46">
        <f>ROUNDUP(H957/30,0)*VLOOKUP(D957,'报价表-配送'!$B$84:$I$88,8,0)</f>
        <v>0</v>
      </c>
      <c r="J957" s="38"/>
      <c r="K957" s="38"/>
      <c r="L957" s="37"/>
      <c r="M957" s="39"/>
      <c r="N957" s="38">
        <f t="shared" si="14"/>
        <v>0</v>
      </c>
    </row>
    <row r="958" spans="1:14" x14ac:dyDescent="0.25">
      <c r="A958" t="s">
        <v>111</v>
      </c>
      <c r="B958" t="s">
        <v>120</v>
      </c>
      <c r="C958" s="62">
        <f>VLOOKUP(B958,合并仓明细!$D$2:$F$74,3,0)</f>
        <v>186</v>
      </c>
      <c r="D958" t="s">
        <v>413</v>
      </c>
      <c r="E958" t="s">
        <v>290</v>
      </c>
      <c r="F958" t="s">
        <v>67</v>
      </c>
      <c r="G958">
        <v>3293.1395279999997</v>
      </c>
      <c r="H958"/>
      <c r="K958" s="1"/>
      <c r="L958" s="33"/>
      <c r="M958" s="1"/>
      <c r="N958" s="38">
        <f t="shared" si="14"/>
        <v>0</v>
      </c>
    </row>
    <row r="959" spans="1:14" x14ac:dyDescent="0.25">
      <c r="A959" t="s">
        <v>111</v>
      </c>
      <c r="B959" t="s">
        <v>120</v>
      </c>
      <c r="C959" s="62">
        <f>VLOOKUP(B959,合并仓明细!$D$2:$F$74,3,0)</f>
        <v>186</v>
      </c>
      <c r="D959" t="s">
        <v>413</v>
      </c>
      <c r="E959" t="s">
        <v>290</v>
      </c>
      <c r="F959" t="s">
        <v>66</v>
      </c>
      <c r="G959">
        <v>97.432500000000005</v>
      </c>
      <c r="H959"/>
      <c r="K959" s="1"/>
      <c r="L959" s="33"/>
      <c r="M959" s="1"/>
      <c r="N959" s="38">
        <f t="shared" si="14"/>
        <v>0</v>
      </c>
    </row>
    <row r="960" spans="1:14" x14ac:dyDescent="0.25">
      <c r="A960" t="s">
        <v>111</v>
      </c>
      <c r="B960" t="s">
        <v>120</v>
      </c>
      <c r="C960" s="62">
        <f>VLOOKUP(B960,合并仓明细!$D$2:$F$74,3,0)</f>
        <v>186</v>
      </c>
      <c r="D960" t="s">
        <v>413</v>
      </c>
      <c r="E960" t="s">
        <v>291</v>
      </c>
      <c r="F960" t="s">
        <v>68</v>
      </c>
      <c r="G960">
        <v>975.88800000000003</v>
      </c>
      <c r="H960">
        <v>1.179068</v>
      </c>
      <c r="I960" s="46">
        <f>ROUNDUP(H960/30,0)*VLOOKUP(D960,'报价表-配送'!$B$84:$I$88,8,0)</f>
        <v>0</v>
      </c>
      <c r="J960" s="38"/>
      <c r="K960" s="38"/>
      <c r="L960" s="37"/>
      <c r="M960" s="39"/>
      <c r="N960" s="38">
        <f t="shared" si="14"/>
        <v>0</v>
      </c>
    </row>
    <row r="961" spans="1:14" x14ac:dyDescent="0.25">
      <c r="A961" t="s">
        <v>111</v>
      </c>
      <c r="B961" t="s">
        <v>120</v>
      </c>
      <c r="C961" s="62">
        <f>VLOOKUP(B961,合并仓明细!$D$2:$F$74,3,0)</f>
        <v>186</v>
      </c>
      <c r="D961" t="s">
        <v>413</v>
      </c>
      <c r="E961" t="s">
        <v>291</v>
      </c>
      <c r="F961" t="s">
        <v>66</v>
      </c>
      <c r="G961">
        <v>203.18</v>
      </c>
      <c r="H961"/>
      <c r="K961" s="1"/>
      <c r="L961" s="33"/>
      <c r="M961" s="1"/>
      <c r="N961" s="38">
        <f t="shared" si="14"/>
        <v>0</v>
      </c>
    </row>
    <row r="962" spans="1:14" x14ac:dyDescent="0.25">
      <c r="A962" t="s">
        <v>111</v>
      </c>
      <c r="B962" t="s">
        <v>120</v>
      </c>
      <c r="C962" s="62">
        <f>VLOOKUP(B962,合并仓明细!$D$2:$F$74,3,0)</f>
        <v>186</v>
      </c>
      <c r="D962" t="s">
        <v>413</v>
      </c>
      <c r="E962" t="s">
        <v>293</v>
      </c>
      <c r="F962" t="s">
        <v>66</v>
      </c>
      <c r="G962">
        <v>327</v>
      </c>
      <c r="H962">
        <v>0.32700000000000001</v>
      </c>
      <c r="I962" s="38"/>
      <c r="J962" s="38"/>
      <c r="K962" s="38"/>
      <c r="L962" s="37">
        <f>IF(H962&gt;30,QUOTIENT(H962,30)*VLOOKUP(D962,'报价表-配送'!$B$84:$I$88,8,0),0)+IF(AND(MOD(H962,30)&gt;18,MOD(H962,30)&lt;=30),1,0)*VLOOKUP(D962,'报价表-配送'!$B$84:$I$88,8,0)+IF(AND(MOD(H962,30)&gt;8,MOD(H962,30)&lt;=18),1*VLOOKUP(D962,'报价表-配送'!$B$84:$I$88,7,0),0)+IF(AND(MOD(H962,30)&lt;=8,MOD(H962,30)&gt;2.5),1,0)*VLOOKUP(D962,'报价表-配送'!$B$84:$I$88,6,0)+IF(AND(MOD(H962,30)&lt;=2.5,MOD(H962,30)&gt;=1.5),1,0)*VLOOKUP(D962,'报价表-配送'!$B$84:$I$88,5,0)</f>
        <v>0</v>
      </c>
      <c r="M962" s="39">
        <f>IF(AND(MOD(H962,30)&lt;1.5,MOD(H962,30)&gt;=0.5),H962,0)*VLOOKUP(D962,'报价表-配送'!$B$84:$I$88,4,0)*1000+IF(AND(MOD(H962,30)&lt;0.5,MOD(H962,30)&gt;=0.02),H962,0)*VLOOKUP(D962,'报价表-配送'!$B$84:$I$88,3,0)*1000+IF(AND(MOD(H962,30)&lt;0.02),H962,0)*VLOOKUP(D962,'报价表-配送'!$B$84:$I$88,2,0)*1000</f>
        <v>0</v>
      </c>
      <c r="N962" s="38">
        <f t="shared" si="14"/>
        <v>0</v>
      </c>
    </row>
    <row r="963" spans="1:14" x14ac:dyDescent="0.25">
      <c r="A963" t="s">
        <v>111</v>
      </c>
      <c r="B963" t="s">
        <v>120</v>
      </c>
      <c r="C963" s="62">
        <f>VLOOKUP(B963,合并仓明细!$D$2:$F$74,3,0)</f>
        <v>186</v>
      </c>
      <c r="D963" t="s">
        <v>413</v>
      </c>
      <c r="E963" t="s">
        <v>358</v>
      </c>
      <c r="F963" t="s">
        <v>66</v>
      </c>
      <c r="G963">
        <v>129.19834999</v>
      </c>
      <c r="H963">
        <v>0.12919834998999999</v>
      </c>
      <c r="K963" s="1"/>
      <c r="L963" s="37">
        <f>IF(H963&gt;30,QUOTIENT(H963,30)*VLOOKUP(D963,'报价表-配送'!$B$84:$I$88,8,0),0)+IF(AND(MOD(H963,30)&gt;18,MOD(H963,30)&lt;=30),1,0)*VLOOKUP(D963,'报价表-配送'!$B$84:$I$88,8,0)+IF(AND(MOD(H963,30)&gt;8,MOD(H963,30)&lt;=18),1*VLOOKUP(D963,'报价表-配送'!$B$84:$I$88,7,0),0)+IF(AND(MOD(H963,30)&lt;=8,MOD(H963,30)&gt;2.5),1,0)*VLOOKUP(D963,'报价表-配送'!$B$84:$I$88,6,0)+IF(AND(MOD(H963,30)&lt;=2.5,MOD(H963,30)&gt;=1.5),1,0)*VLOOKUP(D963,'报价表-配送'!$B$84:$I$88,5,0)</f>
        <v>0</v>
      </c>
      <c r="M963" s="39">
        <f>IF(AND(MOD(H963,30)&lt;1.5,MOD(H963,30)&gt;=0.5),H963,0)*VLOOKUP(D963,'报价表-配送'!$B$84:$I$88,4,0)*1000+IF(AND(MOD(H963,30)&lt;0.5,MOD(H963,30)&gt;=0.02),H963,0)*VLOOKUP(D963,'报价表-配送'!$B$84:$I$88,3,0)*1000+IF(AND(MOD(H963,30)&lt;0.02),H963,0)*VLOOKUP(D963,'报价表-配送'!$B$84:$I$88,2,0)*1000</f>
        <v>0</v>
      </c>
      <c r="N963" s="38">
        <f t="shared" si="14"/>
        <v>0</v>
      </c>
    </row>
    <row r="964" spans="1:14" x14ac:dyDescent="0.25">
      <c r="A964" t="s">
        <v>111</v>
      </c>
      <c r="B964" t="s">
        <v>120</v>
      </c>
      <c r="C964" s="62">
        <f>VLOOKUP(B964,合并仓明细!$D$2:$F$74,3,0)</f>
        <v>186</v>
      </c>
      <c r="D964" t="s">
        <v>413</v>
      </c>
      <c r="E964" t="s">
        <v>317</v>
      </c>
      <c r="F964" t="s">
        <v>67</v>
      </c>
      <c r="G964">
        <v>1640.8626065999999</v>
      </c>
      <c r="H964">
        <v>1.7358626066</v>
      </c>
      <c r="I964" s="38">
        <f>IF(H964&gt;30,QUOTIENT(H964,30)*VLOOKUP(D964,'报价表-配送'!$B$84:$I$88,8,0),0)+IF(AND(MOD(H964,30)&gt;18,MOD(H964,30)&lt;=30),1,0)*VLOOKUP(D964,'报价表-配送'!$B$84:$I$88,8,0)</f>
        <v>0</v>
      </c>
      <c r="J964" s="38">
        <f>IF(AND(MOD(H964,30)&gt;8,MOD(H964,30)&lt;=18),1*VLOOKUP(D964,'报价表-配送'!$B$84:$I$88,7,0),0)</f>
        <v>0</v>
      </c>
      <c r="K964" s="38">
        <f>IF(AND(MOD(H964,30)&lt;=8,MOD(H964,30)&gt;0),1,0)*VLOOKUP(D964,'报价表-配送'!$B$84:$I$88,6,0)</f>
        <v>0</v>
      </c>
      <c r="L964" s="37"/>
      <c r="M964" s="39"/>
      <c r="N964" s="38">
        <f t="shared" si="14"/>
        <v>0</v>
      </c>
    </row>
    <row r="965" spans="1:14" x14ac:dyDescent="0.25">
      <c r="A965" t="s">
        <v>111</v>
      </c>
      <c r="B965" t="s">
        <v>120</v>
      </c>
      <c r="C965" s="62">
        <f>VLOOKUP(B965,合并仓明细!$D$2:$F$74,3,0)</f>
        <v>186</v>
      </c>
      <c r="D965" t="s">
        <v>413</v>
      </c>
      <c r="E965" t="s">
        <v>317</v>
      </c>
      <c r="F965" t="s">
        <v>66</v>
      </c>
      <c r="G965">
        <v>95</v>
      </c>
      <c r="H965"/>
      <c r="K965" s="1"/>
      <c r="L965" s="33"/>
      <c r="M965" s="1"/>
      <c r="N965" s="38">
        <f t="shared" si="14"/>
        <v>0</v>
      </c>
    </row>
    <row r="966" spans="1:14" x14ac:dyDescent="0.25">
      <c r="A966" t="s">
        <v>111</v>
      </c>
      <c r="B966" t="s">
        <v>120</v>
      </c>
      <c r="C966" s="62">
        <f>VLOOKUP(B966,合并仓明细!$D$2:$F$74,3,0)</f>
        <v>186</v>
      </c>
      <c r="D966" t="s">
        <v>413</v>
      </c>
      <c r="E966" t="s">
        <v>325</v>
      </c>
      <c r="F966" t="s">
        <v>66</v>
      </c>
      <c r="G966">
        <v>37.495000000000005</v>
      </c>
      <c r="H966">
        <v>3.7495000000000007E-2</v>
      </c>
      <c r="K966" s="1"/>
      <c r="L966" s="37">
        <f>IF(H966&gt;30,QUOTIENT(H966,30)*VLOOKUP(D966,'报价表-配送'!$B$84:$I$88,8,0),0)+IF(AND(MOD(H966,30)&gt;18,MOD(H966,30)&lt;=30),1,0)*VLOOKUP(D966,'报价表-配送'!$B$84:$I$88,8,0)+IF(AND(MOD(H966,30)&gt;8,MOD(H966,30)&lt;=18),1*VLOOKUP(D966,'报价表-配送'!$B$84:$I$88,7,0),0)+IF(AND(MOD(H966,30)&lt;=8,MOD(H966,30)&gt;2.5),1,0)*VLOOKUP(D966,'报价表-配送'!$B$84:$I$88,6,0)+IF(AND(MOD(H966,30)&lt;=2.5,MOD(H966,30)&gt;=1.5),1,0)*VLOOKUP(D966,'报价表-配送'!$B$84:$I$88,5,0)</f>
        <v>0</v>
      </c>
      <c r="M966" s="39">
        <f>IF(AND(MOD(H966,30)&lt;1.5,MOD(H966,30)&gt;=0.5),H966,0)*VLOOKUP(D966,'报价表-配送'!$B$84:$I$88,4,0)*1000+IF(AND(MOD(H966,30)&lt;0.5,MOD(H966,30)&gt;=0.02),H966,0)*VLOOKUP(D966,'报价表-配送'!$B$84:$I$88,3,0)*1000+IF(AND(MOD(H966,30)&lt;0.02),H966,0)*VLOOKUP(D966,'报价表-配送'!$B$84:$I$88,2,0)*1000</f>
        <v>0</v>
      </c>
      <c r="N966" s="38">
        <f t="shared" si="14"/>
        <v>0</v>
      </c>
    </row>
    <row r="967" spans="1:14" x14ac:dyDescent="0.25">
      <c r="A967" t="s">
        <v>111</v>
      </c>
      <c r="B967" t="s">
        <v>120</v>
      </c>
      <c r="C967" s="62">
        <f>VLOOKUP(B967,合并仓明细!$D$2:$F$74,3,0)</f>
        <v>186</v>
      </c>
      <c r="D967" t="s">
        <v>413</v>
      </c>
      <c r="E967" t="s">
        <v>350</v>
      </c>
      <c r="F967" t="s">
        <v>66</v>
      </c>
      <c r="G967">
        <v>51.162083309999993</v>
      </c>
      <c r="H967">
        <v>5.1162083309999995E-2</v>
      </c>
      <c r="K967" s="1"/>
      <c r="L967" s="37">
        <f>IF(H967&gt;30,QUOTIENT(H967,30)*VLOOKUP(D967,'报价表-配送'!$B$84:$I$88,8,0),0)+IF(AND(MOD(H967,30)&gt;18,MOD(H967,30)&lt;=30),1,0)*VLOOKUP(D967,'报价表-配送'!$B$84:$I$88,8,0)+IF(AND(MOD(H967,30)&gt;8,MOD(H967,30)&lt;=18),1*VLOOKUP(D967,'报价表-配送'!$B$84:$I$88,7,0),0)+IF(AND(MOD(H967,30)&lt;=8,MOD(H967,30)&gt;2.5),1,0)*VLOOKUP(D967,'报价表-配送'!$B$84:$I$88,6,0)+IF(AND(MOD(H967,30)&lt;=2.5,MOD(H967,30)&gt;=1.5),1,0)*VLOOKUP(D967,'报价表-配送'!$B$84:$I$88,5,0)</f>
        <v>0</v>
      </c>
      <c r="M967" s="39">
        <f>IF(AND(MOD(H967,30)&lt;1.5,MOD(H967,30)&gt;=0.5),H967,0)*VLOOKUP(D967,'报价表-配送'!$B$84:$I$88,4,0)*1000+IF(AND(MOD(H967,30)&lt;0.5,MOD(H967,30)&gt;=0.02),H967,0)*VLOOKUP(D967,'报价表-配送'!$B$84:$I$88,3,0)*1000+IF(AND(MOD(H967,30)&lt;0.02),H967,0)*VLOOKUP(D967,'报价表-配送'!$B$84:$I$88,2,0)*1000</f>
        <v>0</v>
      </c>
      <c r="N967" s="38">
        <f t="shared" si="14"/>
        <v>0</v>
      </c>
    </row>
    <row r="968" spans="1:14" x14ac:dyDescent="0.25">
      <c r="A968" t="s">
        <v>111</v>
      </c>
      <c r="B968" t="s">
        <v>120</v>
      </c>
      <c r="C968" s="62">
        <f>VLOOKUP(B968,合并仓明细!$D$2:$F$74,3,0)</f>
        <v>186</v>
      </c>
      <c r="D968" t="s">
        <v>413</v>
      </c>
      <c r="E968" t="s">
        <v>301</v>
      </c>
      <c r="F968" t="s">
        <v>66</v>
      </c>
      <c r="G968" s="103">
        <v>1564.86874994</v>
      </c>
      <c r="H968" s="103">
        <v>1.56486874994</v>
      </c>
      <c r="K968" s="1"/>
      <c r="L968" s="37">
        <f>IF(H968&gt;30,QUOTIENT(H968,30)*VLOOKUP(D968,'报价表-配送'!$B$84:$I$88,8,0),0)+IF(AND(MOD(H968,30)&gt;18,MOD(H968,30)&lt;=30),1,0)*VLOOKUP(D968,'报价表-配送'!$B$84:$I$88,8,0)+IF(AND(MOD(H968,30)&gt;8,MOD(H968,30)&lt;=18),1*VLOOKUP(D968,'报价表-配送'!$B$84:$I$88,7,0),0)+IF(AND(MOD(H968,30)&lt;=8,MOD(H968,30)&gt;2.5),1,0)*VLOOKUP(D968,'报价表-配送'!$B$84:$I$88,6,0)+IF(AND(MOD(H968,30)&lt;=2.5,MOD(H968,30)&gt;=1.5),1,0)*VLOOKUP(D968,'报价表-配送'!$B$84:$I$88,5,0)</f>
        <v>0</v>
      </c>
      <c r="M968" s="39">
        <f>IF(AND(MOD(H968,30)&lt;1.5,MOD(H968,30)&gt;=0.5),H968,0)*VLOOKUP(D968,'报价表-配送'!$B$84:$I$88,4,0)*1000+IF(AND(MOD(H968,30)&lt;0.5,MOD(H968,30)&gt;=0.02),H968,0)*VLOOKUP(D968,'报价表-配送'!$B$84:$I$88,3,0)*1000+IF(AND(MOD(H968,30)&lt;0.02),H968,0)*VLOOKUP(D968,'报价表-配送'!$B$84:$I$88,2,0)*1000</f>
        <v>0</v>
      </c>
      <c r="N968" s="38">
        <f t="shared" si="14"/>
        <v>0</v>
      </c>
    </row>
    <row r="969" spans="1:14" x14ac:dyDescent="0.25">
      <c r="A969" t="s">
        <v>111</v>
      </c>
      <c r="B969" t="s">
        <v>120</v>
      </c>
      <c r="C969" s="62">
        <f>VLOOKUP(B969,合并仓明细!$D$2:$F$74,3,0)</f>
        <v>186</v>
      </c>
      <c r="D969" t="s">
        <v>413</v>
      </c>
      <c r="E969" t="s">
        <v>355</v>
      </c>
      <c r="F969" t="s">
        <v>68</v>
      </c>
      <c r="G969">
        <v>766.92696000000001</v>
      </c>
      <c r="H969">
        <v>6.2486975820000001</v>
      </c>
      <c r="I969" s="46">
        <f>ROUNDUP(H969/30,0)*VLOOKUP(D969,'报价表-配送'!$B$84:$I$88,8,0)</f>
        <v>0</v>
      </c>
      <c r="K969" s="1"/>
      <c r="L969" s="37"/>
      <c r="M969" s="39"/>
      <c r="N969" s="38">
        <f t="shared" si="14"/>
        <v>0</v>
      </c>
    </row>
    <row r="970" spans="1:14" x14ac:dyDescent="0.25">
      <c r="A970" t="s">
        <v>111</v>
      </c>
      <c r="B970" t="s">
        <v>120</v>
      </c>
      <c r="C970" s="62">
        <f>VLOOKUP(B970,合并仓明细!$D$2:$F$74,3,0)</f>
        <v>186</v>
      </c>
      <c r="D970" t="s">
        <v>413</v>
      </c>
      <c r="E970" t="s">
        <v>355</v>
      </c>
      <c r="F970" t="s">
        <v>67</v>
      </c>
      <c r="G970">
        <v>5481.770622</v>
      </c>
      <c r="H970"/>
      <c r="I970" s="38"/>
      <c r="J970" s="38"/>
      <c r="K970" s="38"/>
      <c r="L970" s="37"/>
      <c r="M970" s="39"/>
      <c r="N970" s="38">
        <f t="shared" si="14"/>
        <v>0</v>
      </c>
    </row>
    <row r="971" spans="1:14" x14ac:dyDescent="0.25">
      <c r="A971" t="s">
        <v>111</v>
      </c>
      <c r="B971" t="s">
        <v>120</v>
      </c>
      <c r="C971" s="62">
        <f>VLOOKUP(B971,合并仓明细!$D$2:$F$74,3,0)</f>
        <v>186</v>
      </c>
      <c r="D971" t="s">
        <v>413</v>
      </c>
      <c r="E971" t="s">
        <v>252</v>
      </c>
      <c r="F971" t="s">
        <v>68</v>
      </c>
      <c r="G971">
        <v>1838.136</v>
      </c>
      <c r="H971">
        <v>2.1473621200000004</v>
      </c>
      <c r="I971" s="46">
        <f>ROUNDUP(H971/30,0)*VLOOKUP(D971,'报价表-配送'!$B$84:$I$88,8,0)</f>
        <v>0</v>
      </c>
      <c r="K971" s="1"/>
      <c r="L971" s="33"/>
      <c r="M971" s="1"/>
      <c r="N971" s="38">
        <f t="shared" si="14"/>
        <v>0</v>
      </c>
    </row>
    <row r="972" spans="1:14" x14ac:dyDescent="0.25">
      <c r="A972" t="s">
        <v>111</v>
      </c>
      <c r="B972" t="s">
        <v>120</v>
      </c>
      <c r="C972" s="62">
        <f>VLOOKUP(B972,合并仓明细!$D$2:$F$74,3,0)</f>
        <v>186</v>
      </c>
      <c r="D972" t="s">
        <v>413</v>
      </c>
      <c r="E972" t="s">
        <v>252</v>
      </c>
      <c r="F972" t="s">
        <v>67</v>
      </c>
      <c r="G972">
        <v>243.60012</v>
      </c>
      <c r="H972"/>
      <c r="K972" s="1"/>
      <c r="L972" s="37"/>
      <c r="M972" s="39"/>
      <c r="N972" s="38">
        <f t="shared" si="14"/>
        <v>0</v>
      </c>
    </row>
    <row r="973" spans="1:14" x14ac:dyDescent="0.25">
      <c r="A973" t="s">
        <v>111</v>
      </c>
      <c r="B973" t="s">
        <v>120</v>
      </c>
      <c r="C973" s="62">
        <f>VLOOKUP(B973,合并仓明细!$D$2:$F$74,3,0)</f>
        <v>186</v>
      </c>
      <c r="D973" t="s">
        <v>413</v>
      </c>
      <c r="E973" t="s">
        <v>252</v>
      </c>
      <c r="F973" t="s">
        <v>66</v>
      </c>
      <c r="G973">
        <v>65.626000000000005</v>
      </c>
      <c r="H973"/>
      <c r="I973" s="38"/>
      <c r="J973" s="38"/>
      <c r="K973" s="38"/>
      <c r="L973" s="37"/>
      <c r="M973" s="39"/>
      <c r="N973" s="38">
        <f t="shared" si="14"/>
        <v>0</v>
      </c>
    </row>
    <row r="974" spans="1:14" x14ac:dyDescent="0.25">
      <c r="A974" t="s">
        <v>111</v>
      </c>
      <c r="B974" t="s">
        <v>120</v>
      </c>
      <c r="C974" s="62">
        <f>VLOOKUP(B974,合并仓明细!$D$2:$F$74,3,0)</f>
        <v>186</v>
      </c>
      <c r="D974" t="s">
        <v>413</v>
      </c>
      <c r="E974" t="s">
        <v>254</v>
      </c>
      <c r="F974" t="s">
        <v>67</v>
      </c>
      <c r="G974">
        <v>4087.1804999999995</v>
      </c>
      <c r="H974">
        <v>4.3374904999999995</v>
      </c>
      <c r="I974" s="38">
        <f>IF(H974&gt;30,QUOTIENT(H974,30)*VLOOKUP(D974,'报价表-配送'!$B$84:$I$88,8,0),0)+IF(AND(MOD(H974,30)&gt;18,MOD(H974,30)&lt;=30),1,0)*VLOOKUP(D974,'报价表-配送'!$B$84:$I$88,8,0)</f>
        <v>0</v>
      </c>
      <c r="J974" s="38">
        <f>IF(AND(MOD(H974,30)&gt;8,MOD(H974,30)&lt;=18),1*VLOOKUP(D974,'报价表-配送'!$B$84:$I$88,7,0),0)</f>
        <v>0</v>
      </c>
      <c r="K974" s="38">
        <f>IF(AND(MOD(H974,30)&lt;=8,MOD(H974,30)&gt;0),1,0)*VLOOKUP(D974,'报价表-配送'!$B$84:$I$88,6,0)</f>
        <v>0</v>
      </c>
      <c r="L974" s="33"/>
      <c r="M974" s="1"/>
      <c r="N974" s="38">
        <f t="shared" si="14"/>
        <v>0</v>
      </c>
    </row>
    <row r="975" spans="1:14" x14ac:dyDescent="0.25">
      <c r="A975" t="s">
        <v>111</v>
      </c>
      <c r="B975" t="s">
        <v>120</v>
      </c>
      <c r="C975" s="62">
        <f>VLOOKUP(B975,合并仓明细!$D$2:$F$74,3,0)</f>
        <v>186</v>
      </c>
      <c r="D975" t="s">
        <v>413</v>
      </c>
      <c r="E975" t="s">
        <v>254</v>
      </c>
      <c r="F975" t="s">
        <v>66</v>
      </c>
      <c r="G975">
        <v>250.31</v>
      </c>
      <c r="H975"/>
      <c r="I975" s="46"/>
      <c r="J975" s="38"/>
      <c r="K975" s="38"/>
      <c r="L975" s="37"/>
      <c r="M975" s="39"/>
      <c r="N975" s="38">
        <f t="shared" si="14"/>
        <v>0</v>
      </c>
    </row>
    <row r="976" spans="1:14" x14ac:dyDescent="0.25">
      <c r="A976" t="s">
        <v>111</v>
      </c>
      <c r="B976" t="s">
        <v>121</v>
      </c>
      <c r="C976" s="62">
        <f>VLOOKUP(B976,合并仓明细!$D$2:$F$74,3,0)</f>
        <v>216</v>
      </c>
      <c r="D976" s="44" t="s">
        <v>414</v>
      </c>
      <c r="E976" t="s">
        <v>308</v>
      </c>
      <c r="F976" t="s">
        <v>66</v>
      </c>
      <c r="G976">
        <v>51.39</v>
      </c>
      <c r="H976">
        <v>5.1389999999999998E-2</v>
      </c>
      <c r="K976" s="1"/>
      <c r="L976" s="37">
        <f>IF(H976&gt;30,QUOTIENT(H976,30)*VLOOKUP(D976,'报价表-配送'!$B$84:$I$88,8,0),0)+IF(AND(MOD(H976,30)&gt;18,MOD(H976,30)&lt;=30),1,0)*VLOOKUP(D976,'报价表-配送'!$B$84:$I$88,8,0)+IF(AND(MOD(H976,30)&gt;8,MOD(H976,30)&lt;=18),1*VLOOKUP(D976,'报价表-配送'!$B$84:$I$88,7,0),0)+IF(AND(MOD(H976,30)&lt;=8,MOD(H976,30)&gt;2.5),1,0)*VLOOKUP(D976,'报价表-配送'!$B$84:$I$88,6,0)+IF(AND(MOD(H976,30)&lt;=2.5,MOD(H976,30)&gt;=1.5),1,0)*VLOOKUP(D976,'报价表-配送'!$B$84:$I$88,5,0)</f>
        <v>0</v>
      </c>
      <c r="M976" s="39">
        <f>IF(AND(MOD(H976,30)&lt;1.5,MOD(H976,30)&gt;=0.5),H976,0)*VLOOKUP(D976,'报价表-配送'!$B$84:$I$88,4,0)*1000+IF(AND(MOD(H976,30)&lt;0.5,MOD(H976,30)&gt;=0.02),H976,0)*VLOOKUP(D976,'报价表-配送'!$B$84:$I$88,3,0)*1000+IF(AND(MOD(H976,30)&lt;0.02),H976,0)*VLOOKUP(D976,'报价表-配送'!$B$84:$I$88,2,0)*1000</f>
        <v>0</v>
      </c>
      <c r="N976" s="38">
        <f t="shared" si="14"/>
        <v>0</v>
      </c>
    </row>
    <row r="977" spans="1:14" x14ac:dyDescent="0.25">
      <c r="A977" t="s">
        <v>111</v>
      </c>
      <c r="B977" t="s">
        <v>121</v>
      </c>
      <c r="C977" s="62">
        <f>VLOOKUP(B977,合并仓明细!$D$2:$F$74,3,0)</f>
        <v>216</v>
      </c>
      <c r="D977" s="44" t="s">
        <v>414</v>
      </c>
      <c r="E977" t="s">
        <v>346</v>
      </c>
      <c r="F977" t="s">
        <v>67</v>
      </c>
      <c r="G977">
        <v>4074.0522419999998</v>
      </c>
      <c r="H977">
        <v>4.6061972420000004</v>
      </c>
      <c r="I977" s="38">
        <f>IF(H977&gt;30,QUOTIENT(H977,30)*VLOOKUP(D977,'报价表-配送'!$B$84:$I$88,8,0),0)+IF(AND(MOD(H977,30)&gt;18,MOD(H977,30)&lt;=30),1,0)*VLOOKUP(D977,'报价表-配送'!$B$84:$I$88,8,0)</f>
        <v>0</v>
      </c>
      <c r="J977" s="38">
        <f>IF(AND(MOD(H977,30)&gt;8,MOD(H977,30)&lt;=18),1*VLOOKUP(D977,'报价表-配送'!$B$84:$I$88,7,0),0)</f>
        <v>0</v>
      </c>
      <c r="K977" s="38">
        <f>IF(AND(MOD(H977,30)&lt;=8,MOD(H977,30)&gt;0),1,0)*VLOOKUP(D977,'报价表-配送'!$B$84:$I$88,6,0)</f>
        <v>0</v>
      </c>
      <c r="L977" s="33"/>
      <c r="M977" s="1"/>
      <c r="N977" s="38">
        <f t="shared" si="14"/>
        <v>0</v>
      </c>
    </row>
    <row r="978" spans="1:14" x14ac:dyDescent="0.25">
      <c r="A978" t="s">
        <v>111</v>
      </c>
      <c r="B978" t="s">
        <v>121</v>
      </c>
      <c r="C978" s="62">
        <f>VLOOKUP(B978,合并仓明细!$D$2:$F$74,3,0)</f>
        <v>216</v>
      </c>
      <c r="D978" s="44" t="s">
        <v>414</v>
      </c>
      <c r="E978" t="s">
        <v>346</v>
      </c>
      <c r="F978" t="s">
        <v>66</v>
      </c>
      <c r="G978">
        <v>532.14499999999998</v>
      </c>
      <c r="H978"/>
      <c r="I978" s="46"/>
      <c r="J978" s="38"/>
      <c r="K978" s="38"/>
      <c r="L978" s="37"/>
      <c r="M978" s="39"/>
      <c r="N978" s="38">
        <f t="shared" si="14"/>
        <v>0</v>
      </c>
    </row>
    <row r="979" spans="1:14" x14ac:dyDescent="0.25">
      <c r="A979" t="s">
        <v>111</v>
      </c>
      <c r="B979" t="s">
        <v>121</v>
      </c>
      <c r="C979" s="62">
        <f>VLOOKUP(B979,合并仓明细!$D$2:$F$74,3,0)</f>
        <v>216</v>
      </c>
      <c r="D979" s="44" t="s">
        <v>414</v>
      </c>
      <c r="E979" t="s">
        <v>279</v>
      </c>
      <c r="F979" t="s">
        <v>66</v>
      </c>
      <c r="G979">
        <v>47.5</v>
      </c>
      <c r="H979">
        <v>4.7500000000000001E-2</v>
      </c>
      <c r="K979" s="1"/>
      <c r="L979" s="37">
        <f>IF(H979&gt;30,QUOTIENT(H979,30)*VLOOKUP(D979,'报价表-配送'!$B$84:$I$88,8,0),0)+IF(AND(MOD(H979,30)&gt;18,MOD(H979,30)&lt;=30),1,0)*VLOOKUP(D979,'报价表-配送'!$B$84:$I$88,8,0)+IF(AND(MOD(H979,30)&gt;8,MOD(H979,30)&lt;=18),1*VLOOKUP(D979,'报价表-配送'!$B$84:$I$88,7,0),0)+IF(AND(MOD(H979,30)&lt;=8,MOD(H979,30)&gt;2.5),1,0)*VLOOKUP(D979,'报价表-配送'!$B$84:$I$88,6,0)+IF(AND(MOD(H979,30)&lt;=2.5,MOD(H979,30)&gt;=1.5),1,0)*VLOOKUP(D979,'报价表-配送'!$B$84:$I$88,5,0)</f>
        <v>0</v>
      </c>
      <c r="M979" s="39">
        <f>IF(AND(MOD(H979,30)&lt;1.5,MOD(H979,30)&gt;=0.5),H979,0)*VLOOKUP(D979,'报价表-配送'!$B$84:$I$88,4,0)*1000+IF(AND(MOD(H979,30)&lt;0.5,MOD(H979,30)&gt;=0.02),H979,0)*VLOOKUP(D979,'报价表-配送'!$B$84:$I$88,3,0)*1000+IF(AND(MOD(H979,30)&lt;0.02),H979,0)*VLOOKUP(D979,'报价表-配送'!$B$84:$I$88,2,0)*1000</f>
        <v>0</v>
      </c>
      <c r="N979" s="38">
        <f t="shared" si="14"/>
        <v>0</v>
      </c>
    </row>
    <row r="980" spans="1:14" x14ac:dyDescent="0.25">
      <c r="A980" t="s">
        <v>111</v>
      </c>
      <c r="B980" t="s">
        <v>121</v>
      </c>
      <c r="C980" s="62">
        <f>VLOOKUP(B980,合并仓明细!$D$2:$F$74,3,0)</f>
        <v>216</v>
      </c>
      <c r="D980" s="44" t="s">
        <v>414</v>
      </c>
      <c r="E980" t="s">
        <v>247</v>
      </c>
      <c r="F980" t="s">
        <v>67</v>
      </c>
      <c r="G980">
        <v>2707.2826559999999</v>
      </c>
      <c r="H980">
        <v>3.6718803260000001</v>
      </c>
      <c r="I980" s="38">
        <f>IF(H980&gt;30,QUOTIENT(H980,30)*VLOOKUP(D980,'报价表-配送'!$B$84:$I$88,8,0),0)+IF(AND(MOD(H980,30)&gt;18,MOD(H980,30)&lt;=30),1,0)*VLOOKUP(D980,'报价表-配送'!$B$84:$I$88,8,0)</f>
        <v>0</v>
      </c>
      <c r="J980" s="38">
        <f>IF(AND(MOD(H980,30)&gt;8,MOD(H980,30)&lt;=18),1*VLOOKUP(D980,'报价表-配送'!$B$84:$I$88,7,0),0)</f>
        <v>0</v>
      </c>
      <c r="K980" s="38">
        <f>IF(AND(MOD(H980,30)&lt;=8,MOD(H980,30)&gt;0),1,0)*VLOOKUP(D980,'报价表-配送'!$B$84:$I$88,6,0)</f>
        <v>0</v>
      </c>
      <c r="L980" s="33"/>
      <c r="M980" s="1"/>
      <c r="N980" s="38">
        <f t="shared" si="14"/>
        <v>0</v>
      </c>
    </row>
    <row r="981" spans="1:14" x14ac:dyDescent="0.25">
      <c r="A981" t="s">
        <v>111</v>
      </c>
      <c r="B981" t="s">
        <v>121</v>
      </c>
      <c r="C981" s="62">
        <f>VLOOKUP(B981,合并仓明细!$D$2:$F$74,3,0)</f>
        <v>216</v>
      </c>
      <c r="D981" s="44" t="s">
        <v>414</v>
      </c>
      <c r="E981" t="s">
        <v>247</v>
      </c>
      <c r="F981" t="s">
        <v>66</v>
      </c>
      <c r="G981">
        <v>964.59766999999999</v>
      </c>
      <c r="H981"/>
      <c r="I981" s="46"/>
      <c r="J981" s="38"/>
      <c r="K981" s="38"/>
      <c r="L981" s="37"/>
      <c r="M981" s="39"/>
      <c r="N981" s="38">
        <f t="shared" si="14"/>
        <v>0</v>
      </c>
    </row>
    <row r="982" spans="1:14" x14ac:dyDescent="0.25">
      <c r="A982" t="s">
        <v>111</v>
      </c>
      <c r="B982" t="s">
        <v>121</v>
      </c>
      <c r="C982" s="62">
        <f>VLOOKUP(B982,合并仓明细!$D$2:$F$74,3,0)</f>
        <v>216</v>
      </c>
      <c r="D982" s="44" t="s">
        <v>414</v>
      </c>
      <c r="E982" t="s">
        <v>325</v>
      </c>
      <c r="F982" t="s">
        <v>68</v>
      </c>
      <c r="G982">
        <v>450.31140000000005</v>
      </c>
      <c r="H982">
        <v>1.8512472340500004</v>
      </c>
      <c r="I982" s="46">
        <f>ROUNDUP(H982/30,0)*VLOOKUP(D982,'报价表-配送'!$B$84:$I$88,8,0)</f>
        <v>0</v>
      </c>
      <c r="K982" s="1"/>
      <c r="L982" s="33"/>
      <c r="M982" s="1"/>
      <c r="N982" s="38">
        <f t="shared" si="14"/>
        <v>0</v>
      </c>
    </row>
    <row r="983" spans="1:14" x14ac:dyDescent="0.25">
      <c r="A983" t="s">
        <v>111</v>
      </c>
      <c r="B983" t="s">
        <v>121</v>
      </c>
      <c r="C983" s="62">
        <f>VLOOKUP(B983,合并仓明细!$D$2:$F$74,3,0)</f>
        <v>216</v>
      </c>
      <c r="D983" s="44" t="s">
        <v>414</v>
      </c>
      <c r="E983" t="s">
        <v>325</v>
      </c>
      <c r="F983" t="s">
        <v>67</v>
      </c>
      <c r="G983">
        <v>23.673442680000001</v>
      </c>
      <c r="H983"/>
      <c r="K983" s="1"/>
      <c r="L983" s="33"/>
      <c r="M983" s="1"/>
      <c r="N983" s="38">
        <f t="shared" si="14"/>
        <v>0</v>
      </c>
    </row>
    <row r="984" spans="1:14" x14ac:dyDescent="0.25">
      <c r="A984" t="s">
        <v>111</v>
      </c>
      <c r="B984" t="s">
        <v>121</v>
      </c>
      <c r="C984" s="62">
        <f>VLOOKUP(B984,合并仓明细!$D$2:$F$74,3,0)</f>
        <v>216</v>
      </c>
      <c r="D984" s="44" t="s">
        <v>414</v>
      </c>
      <c r="E984" t="s">
        <v>325</v>
      </c>
      <c r="F984" t="s">
        <v>66</v>
      </c>
      <c r="G984">
        <v>1377.2623913700004</v>
      </c>
      <c r="H984"/>
      <c r="I984" s="38"/>
      <c r="J984" s="38"/>
      <c r="K984" s="38"/>
      <c r="L984" s="37"/>
      <c r="M984" s="39"/>
      <c r="N984" s="38">
        <f t="shared" ref="N984:N1047" si="15">SUM(I984:M984)</f>
        <v>0</v>
      </c>
    </row>
    <row r="985" spans="1:14" x14ac:dyDescent="0.25">
      <c r="A985" t="s">
        <v>111</v>
      </c>
      <c r="B985" t="s">
        <v>121</v>
      </c>
      <c r="C985" s="62">
        <f>VLOOKUP(B985,合并仓明细!$D$2:$F$74,3,0)</f>
        <v>216</v>
      </c>
      <c r="D985" s="44" t="s">
        <v>414</v>
      </c>
      <c r="E985" t="s">
        <v>318</v>
      </c>
      <c r="F985" t="s">
        <v>67</v>
      </c>
      <c r="G985">
        <v>1699.5621641399998</v>
      </c>
      <c r="H985">
        <v>3.6940566330399998</v>
      </c>
      <c r="I985" s="38">
        <f>IF(H985&gt;30,QUOTIENT(H985,30)*VLOOKUP(D985,'报价表-配送'!$B$84:$I$88,8,0),0)+IF(AND(MOD(H985,30)&gt;18,MOD(H985,30)&lt;=30),1,0)*VLOOKUP(D985,'报价表-配送'!$B$84:$I$88,8,0)</f>
        <v>0</v>
      </c>
      <c r="J985" s="38">
        <f>IF(AND(MOD(H985,30)&gt;8,MOD(H985,30)&lt;=18),1*VLOOKUP(D985,'报价表-配送'!$B$84:$I$88,7,0),0)</f>
        <v>0</v>
      </c>
      <c r="K985" s="38">
        <f>IF(AND(MOD(H985,30)&lt;=8,MOD(H985,30)&gt;0),1,0)*VLOOKUP(D985,'报价表-配送'!$B$84:$I$88,6,0)</f>
        <v>0</v>
      </c>
      <c r="L985" s="33"/>
      <c r="M985" s="1"/>
      <c r="N985" s="38">
        <f t="shared" si="15"/>
        <v>0</v>
      </c>
    </row>
    <row r="986" spans="1:14" x14ac:dyDescent="0.25">
      <c r="A986" t="s">
        <v>111</v>
      </c>
      <c r="B986" t="s">
        <v>121</v>
      </c>
      <c r="C986" s="62">
        <f>VLOOKUP(B986,合并仓明细!$D$2:$F$74,3,0)</f>
        <v>216</v>
      </c>
      <c r="D986" s="44" t="s">
        <v>414</v>
      </c>
      <c r="E986" t="s">
        <v>318</v>
      </c>
      <c r="F986" t="s">
        <v>66</v>
      </c>
      <c r="G986">
        <v>1994.4944689000001</v>
      </c>
      <c r="H986"/>
      <c r="K986" s="1"/>
      <c r="L986" s="37"/>
      <c r="M986" s="39"/>
      <c r="N986" s="38">
        <f t="shared" si="15"/>
        <v>0</v>
      </c>
    </row>
    <row r="987" spans="1:14" x14ac:dyDescent="0.25">
      <c r="A987" t="s">
        <v>111</v>
      </c>
      <c r="B987" t="s">
        <v>121</v>
      </c>
      <c r="C987" s="62">
        <f>VLOOKUP(B987,合并仓明细!$D$2:$F$74,3,0)</f>
        <v>216</v>
      </c>
      <c r="D987" s="44" t="s">
        <v>414</v>
      </c>
      <c r="E987" t="s">
        <v>327</v>
      </c>
      <c r="F987" t="s">
        <v>66</v>
      </c>
      <c r="G987">
        <v>527.79999999999995</v>
      </c>
      <c r="H987">
        <v>0.52779999999999994</v>
      </c>
      <c r="I987" s="46"/>
      <c r="J987" s="38"/>
      <c r="K987" s="38"/>
      <c r="L987" s="37">
        <f>IF(H987&gt;30,QUOTIENT(H987,30)*VLOOKUP(D987,'报价表-配送'!$B$84:$I$88,8,0),0)+IF(AND(MOD(H987,30)&gt;18,MOD(H987,30)&lt;=30),1,0)*VLOOKUP(D987,'报价表-配送'!$B$84:$I$88,8,0)+IF(AND(MOD(H987,30)&gt;8,MOD(H987,30)&lt;=18),1*VLOOKUP(D987,'报价表-配送'!$B$84:$I$88,7,0),0)+IF(AND(MOD(H987,30)&lt;=8,MOD(H987,30)&gt;2.5),1,0)*VLOOKUP(D987,'报价表-配送'!$B$84:$I$88,6,0)+IF(AND(MOD(H987,30)&lt;=2.5,MOD(H987,30)&gt;=1.5),1,0)*VLOOKUP(D987,'报价表-配送'!$B$84:$I$88,5,0)</f>
        <v>0</v>
      </c>
      <c r="M987" s="39">
        <f>IF(AND(MOD(H987,30)&lt;1.5,MOD(H987,30)&gt;=0.5),H987,0)*VLOOKUP(D987,'报价表-配送'!$B$84:$I$88,4,0)*1000+IF(AND(MOD(H987,30)&lt;0.5,MOD(H987,30)&gt;=0.02),H987,0)*VLOOKUP(D987,'报价表-配送'!$B$84:$I$88,3,0)*1000+IF(AND(MOD(H987,30)&lt;0.02),H987,0)*VLOOKUP(D987,'报价表-配送'!$B$84:$I$88,2,0)*1000</f>
        <v>0</v>
      </c>
      <c r="N987" s="38">
        <f t="shared" si="15"/>
        <v>0</v>
      </c>
    </row>
    <row r="988" spans="1:14" x14ac:dyDescent="0.25">
      <c r="A988" t="s">
        <v>111</v>
      </c>
      <c r="B988" t="s">
        <v>121</v>
      </c>
      <c r="C988" s="62">
        <f>VLOOKUP(B988,合并仓明细!$D$2:$F$74,3,0)</f>
        <v>216</v>
      </c>
      <c r="D988" s="44" t="s">
        <v>414</v>
      </c>
      <c r="E988" t="s">
        <v>357</v>
      </c>
      <c r="F988" t="s">
        <v>67</v>
      </c>
      <c r="G988">
        <v>3345.3919652</v>
      </c>
      <c r="H988">
        <v>3.3974030548999998</v>
      </c>
      <c r="I988" s="38">
        <f>IF(H988&gt;30,QUOTIENT(H988,30)*VLOOKUP(D988,'报价表-配送'!$B$84:$I$88,8,0),0)+IF(AND(MOD(H988,30)&gt;18,MOD(H988,30)&lt;=30),1,0)*VLOOKUP(D988,'报价表-配送'!$B$84:$I$88,8,0)</f>
        <v>0</v>
      </c>
      <c r="J988" s="38">
        <f>IF(AND(MOD(H988,30)&gt;8,MOD(H988,30)&lt;=18),1*VLOOKUP(D988,'报价表-配送'!$B$84:$I$88,7,0),0)</f>
        <v>0</v>
      </c>
      <c r="K988" s="38">
        <f>IF(AND(MOD(H988,30)&lt;=8,MOD(H988,30)&gt;0),1,0)*VLOOKUP(D988,'报价表-配送'!$B$84:$I$88,6,0)</f>
        <v>0</v>
      </c>
      <c r="L988" s="33"/>
      <c r="M988" s="1"/>
      <c r="N988" s="38">
        <f t="shared" si="15"/>
        <v>0</v>
      </c>
    </row>
    <row r="989" spans="1:14" x14ac:dyDescent="0.25">
      <c r="A989" t="s">
        <v>111</v>
      </c>
      <c r="B989" t="s">
        <v>121</v>
      </c>
      <c r="C989" s="62">
        <f>VLOOKUP(B989,合并仓明细!$D$2:$F$74,3,0)</f>
        <v>216</v>
      </c>
      <c r="D989" s="44" t="s">
        <v>414</v>
      </c>
      <c r="E989" t="s">
        <v>357</v>
      </c>
      <c r="F989" t="s">
        <v>66</v>
      </c>
      <c r="G989">
        <v>52.011089699999999</v>
      </c>
      <c r="H989"/>
      <c r="K989" s="1"/>
      <c r="L989" s="33"/>
      <c r="M989" s="1"/>
      <c r="N989" s="38">
        <f t="shared" si="15"/>
        <v>0</v>
      </c>
    </row>
    <row r="990" spans="1:14" x14ac:dyDescent="0.25">
      <c r="A990" t="s">
        <v>111</v>
      </c>
      <c r="B990" t="s">
        <v>121</v>
      </c>
      <c r="C990" s="62">
        <f>VLOOKUP(B990,合并仓明细!$D$2:$F$74,3,0)</f>
        <v>216</v>
      </c>
      <c r="D990" s="44" t="s">
        <v>414</v>
      </c>
      <c r="E990" t="s">
        <v>252</v>
      </c>
      <c r="F990" t="s">
        <v>67</v>
      </c>
      <c r="G990">
        <v>8018.0093280000001</v>
      </c>
      <c r="H990">
        <v>10.403539327999999</v>
      </c>
      <c r="I990" s="38">
        <f>IF(H990&gt;30,QUOTIENT(H990,30)*VLOOKUP(D990,'报价表-配送'!$B$84:$I$88,8,0),0)+IF(AND(MOD(H990,30)&gt;18,MOD(H990,30)&lt;=30),1,0)*VLOOKUP(D990,'报价表-配送'!$B$84:$I$88,8,0)</f>
        <v>0</v>
      </c>
      <c r="J990" s="38">
        <f>IF(AND(MOD(H990,30)&gt;8,MOD(H990,30)&lt;=18),1*VLOOKUP(D990,'报价表-配送'!$B$84:$I$88,7,0),0)</f>
        <v>0</v>
      </c>
      <c r="K990" s="38">
        <f>IF(AND(MOD(H990,30)&lt;=8,MOD(H990,30)&gt;0),1,0)*VLOOKUP(D990,'报价表-配送'!$B$84:$I$88,6,0)</f>
        <v>0</v>
      </c>
      <c r="L990" s="37"/>
      <c r="M990" s="39"/>
      <c r="N990" s="38">
        <f t="shared" si="15"/>
        <v>0</v>
      </c>
    </row>
    <row r="991" spans="1:14" x14ac:dyDescent="0.25">
      <c r="A991" t="s">
        <v>111</v>
      </c>
      <c r="B991" t="s">
        <v>121</v>
      </c>
      <c r="C991" s="62">
        <f>VLOOKUP(B991,合并仓明细!$D$2:$F$74,3,0)</f>
        <v>216</v>
      </c>
      <c r="D991" s="44" t="s">
        <v>414</v>
      </c>
      <c r="E991" t="s">
        <v>252</v>
      </c>
      <c r="F991" t="s">
        <v>66</v>
      </c>
      <c r="G991">
        <v>2385.5299999999997</v>
      </c>
      <c r="H991"/>
      <c r="K991" s="1"/>
      <c r="L991" s="33"/>
      <c r="M991" s="1"/>
      <c r="N991" s="38">
        <f t="shared" si="15"/>
        <v>0</v>
      </c>
    </row>
    <row r="992" spans="1:14" x14ac:dyDescent="0.25">
      <c r="A992" t="s">
        <v>111</v>
      </c>
      <c r="B992" t="s">
        <v>121</v>
      </c>
      <c r="C992" s="62">
        <f>VLOOKUP(B992,合并仓明细!$D$2:$F$74,3,0)</f>
        <v>216</v>
      </c>
      <c r="D992" s="44" t="s">
        <v>414</v>
      </c>
      <c r="E992" t="s">
        <v>356</v>
      </c>
      <c r="F992" t="s">
        <v>66</v>
      </c>
      <c r="G992">
        <v>50.375</v>
      </c>
      <c r="H992">
        <v>5.0375000000000003E-2</v>
      </c>
      <c r="K992" s="1"/>
      <c r="L992" s="37">
        <f>IF(H992&gt;30,QUOTIENT(H992,30)*VLOOKUP(D992,'报价表-配送'!$B$84:$I$88,8,0),0)+IF(AND(MOD(H992,30)&gt;18,MOD(H992,30)&lt;=30),1,0)*VLOOKUP(D992,'报价表-配送'!$B$84:$I$88,8,0)+IF(AND(MOD(H992,30)&gt;8,MOD(H992,30)&lt;=18),1*VLOOKUP(D992,'报价表-配送'!$B$84:$I$88,7,0),0)+IF(AND(MOD(H992,30)&lt;=8,MOD(H992,30)&gt;2.5),1,0)*VLOOKUP(D992,'报价表-配送'!$B$84:$I$88,6,0)+IF(AND(MOD(H992,30)&lt;=2.5,MOD(H992,30)&gt;=1.5),1,0)*VLOOKUP(D992,'报价表-配送'!$B$84:$I$88,5,0)</f>
        <v>0</v>
      </c>
      <c r="M992" s="39">
        <f>IF(AND(MOD(H992,30)&lt;1.5,MOD(H992,30)&gt;=0.5),H992,0)*VLOOKUP(D992,'报价表-配送'!$B$84:$I$88,4,0)*1000+IF(AND(MOD(H992,30)&lt;0.5,MOD(H992,30)&gt;=0.02),H992,0)*VLOOKUP(D992,'报价表-配送'!$B$84:$I$88,3,0)*1000+IF(AND(MOD(H992,30)&lt;0.02),H992,0)*VLOOKUP(D992,'报价表-配送'!$B$84:$I$88,2,0)*1000</f>
        <v>0</v>
      </c>
      <c r="N992" s="38">
        <f t="shared" si="15"/>
        <v>0</v>
      </c>
    </row>
    <row r="993" spans="1:14" x14ac:dyDescent="0.25">
      <c r="A993" t="s">
        <v>111</v>
      </c>
      <c r="B993" t="s">
        <v>122</v>
      </c>
      <c r="C993" s="62">
        <f>VLOOKUP(B993,合并仓明细!$D$2:$F$74,3,0)</f>
        <v>187</v>
      </c>
      <c r="D993" t="s">
        <v>413</v>
      </c>
      <c r="E993" t="s">
        <v>261</v>
      </c>
      <c r="F993" t="s">
        <v>68</v>
      </c>
      <c r="G993">
        <v>3919.7267999999999</v>
      </c>
      <c r="H993">
        <v>19.228320483200001</v>
      </c>
      <c r="I993" s="46">
        <f>ROUNDUP(H993/30,0)*VLOOKUP(D993,'报价表-配送'!$B$84:$I$88,8,0)</f>
        <v>0</v>
      </c>
      <c r="J993" s="38"/>
      <c r="K993" s="38"/>
      <c r="L993" s="37"/>
      <c r="M993" s="39"/>
      <c r="N993" s="38">
        <f t="shared" si="15"/>
        <v>0</v>
      </c>
    </row>
    <row r="994" spans="1:14" x14ac:dyDescent="0.25">
      <c r="A994" t="s">
        <v>111</v>
      </c>
      <c r="B994" t="s">
        <v>122</v>
      </c>
      <c r="C994" s="62">
        <f>VLOOKUP(B994,合并仓明细!$D$2:$F$74,3,0)</f>
        <v>187</v>
      </c>
      <c r="D994" t="s">
        <v>413</v>
      </c>
      <c r="E994" t="s">
        <v>261</v>
      </c>
      <c r="F994" t="s">
        <v>67</v>
      </c>
      <c r="G994">
        <v>14868.325349999999</v>
      </c>
      <c r="H994"/>
      <c r="K994" s="1"/>
      <c r="L994" s="33"/>
      <c r="M994" s="1"/>
      <c r="N994" s="38">
        <f t="shared" si="15"/>
        <v>0</v>
      </c>
    </row>
    <row r="995" spans="1:14" x14ac:dyDescent="0.25">
      <c r="A995" t="s">
        <v>111</v>
      </c>
      <c r="B995" t="s">
        <v>122</v>
      </c>
      <c r="C995" s="62">
        <f>VLOOKUP(B995,合并仓明细!$D$2:$F$74,3,0)</f>
        <v>187</v>
      </c>
      <c r="D995" t="s">
        <v>413</v>
      </c>
      <c r="E995" t="s">
        <v>261</v>
      </c>
      <c r="F995" t="s">
        <v>66</v>
      </c>
      <c r="G995">
        <v>440.26833320000003</v>
      </c>
      <c r="H995"/>
      <c r="K995" s="1"/>
      <c r="L995" s="33"/>
      <c r="M995" s="1"/>
      <c r="N995" s="38">
        <f t="shared" si="15"/>
        <v>0</v>
      </c>
    </row>
    <row r="996" spans="1:14" x14ac:dyDescent="0.25">
      <c r="A996" t="s">
        <v>111</v>
      </c>
      <c r="B996" t="s">
        <v>122</v>
      </c>
      <c r="C996" s="62">
        <f>VLOOKUP(B996,合并仓明细!$D$2:$F$74,3,0)</f>
        <v>187</v>
      </c>
      <c r="D996" t="s">
        <v>413</v>
      </c>
      <c r="E996" t="s">
        <v>263</v>
      </c>
      <c r="F996" t="s">
        <v>67</v>
      </c>
      <c r="G996">
        <v>3948.9556499999999</v>
      </c>
      <c r="H996">
        <v>3.9489556499999998</v>
      </c>
      <c r="I996" s="38">
        <f>IF(H996&gt;30,QUOTIENT(H996,30)*VLOOKUP(D996,'报价表-配送'!$B$84:$I$88,8,0),0)+IF(AND(MOD(H996,30)&gt;18,MOD(H996,30)&lt;=30),1,0)*VLOOKUP(D996,'报价表-配送'!$B$84:$I$88,8,0)</f>
        <v>0</v>
      </c>
      <c r="J996" s="38">
        <f>IF(AND(MOD(H996,30)&gt;8,MOD(H996,30)&lt;=18),1*VLOOKUP(D996,'报价表-配送'!$B$84:$I$88,7,0),0)</f>
        <v>0</v>
      </c>
      <c r="K996" s="38">
        <f>IF(AND(MOD(H996,30)&lt;=8,MOD(H996,30)&gt;0),1,0)*VLOOKUP(D996,'报价表-配送'!$B$84:$I$88,6,0)</f>
        <v>0</v>
      </c>
      <c r="L996" s="33"/>
      <c r="M996" s="1"/>
      <c r="N996" s="38">
        <f t="shared" si="15"/>
        <v>0</v>
      </c>
    </row>
    <row r="997" spans="1:14" x14ac:dyDescent="0.25">
      <c r="A997" t="s">
        <v>111</v>
      </c>
      <c r="B997" t="s">
        <v>122</v>
      </c>
      <c r="C997" s="62">
        <f>VLOOKUP(B997,合并仓明细!$D$2:$F$74,3,0)</f>
        <v>187</v>
      </c>
      <c r="D997" t="s">
        <v>413</v>
      </c>
      <c r="E997" t="s">
        <v>266</v>
      </c>
      <c r="F997" t="s">
        <v>66</v>
      </c>
      <c r="G997">
        <v>116.309</v>
      </c>
      <c r="H997">
        <v>0.116309</v>
      </c>
      <c r="K997" s="1"/>
      <c r="L997" s="37">
        <f>IF(H997&gt;30,QUOTIENT(H997,30)*VLOOKUP(D997,'报价表-配送'!$B$84:$I$88,8,0),0)+IF(AND(MOD(H997,30)&gt;18,MOD(H997,30)&lt;=30),1,0)*VLOOKUP(D997,'报价表-配送'!$B$84:$I$88,8,0)+IF(AND(MOD(H997,30)&gt;8,MOD(H997,30)&lt;=18),1*VLOOKUP(D997,'报价表-配送'!$B$84:$I$88,7,0),0)+IF(AND(MOD(H997,30)&lt;=8,MOD(H997,30)&gt;2.5),1,0)*VLOOKUP(D997,'报价表-配送'!$B$84:$I$88,6,0)+IF(AND(MOD(H997,30)&lt;=2.5,MOD(H997,30)&gt;=1.5),1,0)*VLOOKUP(D997,'报价表-配送'!$B$84:$I$88,5,0)</f>
        <v>0</v>
      </c>
      <c r="M997" s="39">
        <f>IF(AND(MOD(H997,30)&lt;1.5,MOD(H997,30)&gt;=0.5),H997,0)*VLOOKUP(D997,'报价表-配送'!$B$84:$I$88,4,0)*1000+IF(AND(MOD(H997,30)&lt;0.5,MOD(H997,30)&gt;=0.02),H997,0)*VLOOKUP(D997,'报价表-配送'!$B$84:$I$88,3,0)*1000+IF(AND(MOD(H997,30)&lt;0.02),H997,0)*VLOOKUP(D997,'报价表-配送'!$B$84:$I$88,2,0)*1000</f>
        <v>0</v>
      </c>
      <c r="N997" s="38">
        <f t="shared" si="15"/>
        <v>0</v>
      </c>
    </row>
    <row r="998" spans="1:14" x14ac:dyDescent="0.25">
      <c r="A998" t="s">
        <v>111</v>
      </c>
      <c r="B998" t="s">
        <v>122</v>
      </c>
      <c r="C998" s="62">
        <f>VLOOKUP(B998,合并仓明细!$D$2:$F$74,3,0)</f>
        <v>187</v>
      </c>
      <c r="D998" t="s">
        <v>413</v>
      </c>
      <c r="E998" t="s">
        <v>273</v>
      </c>
      <c r="F998" t="s">
        <v>68</v>
      </c>
      <c r="G998">
        <v>558.43200000000002</v>
      </c>
      <c r="H998">
        <v>5.1412430000199993</v>
      </c>
      <c r="I998" s="46">
        <f>ROUNDUP(H998/30,0)*VLOOKUP(D998,'报价表-配送'!$B$84:$I$88,8,0)</f>
        <v>0</v>
      </c>
      <c r="K998" s="1"/>
      <c r="L998" s="33"/>
      <c r="M998" s="1"/>
      <c r="N998" s="38">
        <f t="shared" si="15"/>
        <v>0</v>
      </c>
    </row>
    <row r="999" spans="1:14" x14ac:dyDescent="0.25">
      <c r="A999" t="s">
        <v>111</v>
      </c>
      <c r="B999" t="s">
        <v>122</v>
      </c>
      <c r="C999" s="62">
        <f>VLOOKUP(B999,合并仓明细!$D$2:$F$74,3,0)</f>
        <v>187</v>
      </c>
      <c r="D999" t="s">
        <v>413</v>
      </c>
      <c r="E999" t="s">
        <v>273</v>
      </c>
      <c r="F999" t="s">
        <v>67</v>
      </c>
      <c r="G999">
        <v>4087.1804999999995</v>
      </c>
      <c r="H999"/>
      <c r="K999" s="1"/>
      <c r="L999" s="33"/>
      <c r="M999" s="1"/>
      <c r="N999" s="38">
        <f t="shared" si="15"/>
        <v>0</v>
      </c>
    </row>
    <row r="1000" spans="1:14" x14ac:dyDescent="0.25">
      <c r="A1000" t="s">
        <v>111</v>
      </c>
      <c r="B1000" t="s">
        <v>122</v>
      </c>
      <c r="C1000" s="62">
        <f>VLOOKUP(B1000,合并仓明细!$D$2:$F$74,3,0)</f>
        <v>187</v>
      </c>
      <c r="D1000" t="s">
        <v>413</v>
      </c>
      <c r="E1000" t="s">
        <v>273</v>
      </c>
      <c r="F1000" t="s">
        <v>66</v>
      </c>
      <c r="G1000">
        <v>495.63050002</v>
      </c>
      <c r="H1000"/>
      <c r="K1000" s="1"/>
      <c r="L1000" s="33"/>
      <c r="M1000" s="1"/>
      <c r="N1000" s="38">
        <f t="shared" si="15"/>
        <v>0</v>
      </c>
    </row>
    <row r="1001" spans="1:14" x14ac:dyDescent="0.25">
      <c r="A1001" t="s">
        <v>111</v>
      </c>
      <c r="B1001" t="s">
        <v>122</v>
      </c>
      <c r="C1001" s="62">
        <f>VLOOKUP(B1001,合并仓明细!$D$2:$F$74,3,0)</f>
        <v>187</v>
      </c>
      <c r="D1001" t="s">
        <v>413</v>
      </c>
      <c r="E1001" t="s">
        <v>284</v>
      </c>
      <c r="F1001" t="s">
        <v>68</v>
      </c>
      <c r="G1001">
        <v>1468.7202</v>
      </c>
      <c r="H1001">
        <v>8.9988685786599998</v>
      </c>
      <c r="I1001" s="46">
        <f>ROUNDUP(H1001/30,0)*VLOOKUP(D1001,'报价表-配送'!$B$84:$I$88,8,0)</f>
        <v>0</v>
      </c>
      <c r="K1001" s="1"/>
      <c r="L1001" s="33"/>
      <c r="M1001" s="1"/>
      <c r="N1001" s="38">
        <f t="shared" si="15"/>
        <v>0</v>
      </c>
    </row>
    <row r="1002" spans="1:14" x14ac:dyDescent="0.25">
      <c r="A1002" t="s">
        <v>111</v>
      </c>
      <c r="B1002" t="s">
        <v>122</v>
      </c>
      <c r="C1002" s="62">
        <f>VLOOKUP(B1002,合并仓明细!$D$2:$F$74,3,0)</f>
        <v>187</v>
      </c>
      <c r="D1002" t="s">
        <v>413</v>
      </c>
      <c r="E1002" t="s">
        <v>284</v>
      </c>
      <c r="F1002" t="s">
        <v>67</v>
      </c>
      <c r="G1002">
        <v>7232.5617120000006</v>
      </c>
      <c r="H1002"/>
      <c r="K1002" s="1"/>
      <c r="L1002" s="33"/>
      <c r="M1002" s="1"/>
      <c r="N1002" s="38">
        <f t="shared" si="15"/>
        <v>0</v>
      </c>
    </row>
    <row r="1003" spans="1:14" x14ac:dyDescent="0.25">
      <c r="A1003" t="s">
        <v>111</v>
      </c>
      <c r="B1003" t="s">
        <v>122</v>
      </c>
      <c r="C1003" s="62">
        <f>VLOOKUP(B1003,合并仓明细!$D$2:$F$74,3,0)</f>
        <v>187</v>
      </c>
      <c r="D1003" t="s">
        <v>413</v>
      </c>
      <c r="E1003" t="s">
        <v>284</v>
      </c>
      <c r="F1003" t="s">
        <v>66</v>
      </c>
      <c r="G1003">
        <v>297.58666666000005</v>
      </c>
      <c r="H1003"/>
      <c r="K1003" s="1"/>
      <c r="L1003" s="33"/>
      <c r="M1003" s="1"/>
      <c r="N1003" s="38">
        <f t="shared" si="15"/>
        <v>0</v>
      </c>
    </row>
    <row r="1004" spans="1:14" x14ac:dyDescent="0.25">
      <c r="A1004" t="s">
        <v>111</v>
      </c>
      <c r="B1004" t="s">
        <v>122</v>
      </c>
      <c r="C1004" s="62">
        <f>VLOOKUP(B1004,合并仓明细!$D$2:$F$74,3,0)</f>
        <v>187</v>
      </c>
      <c r="D1004" t="s">
        <v>413</v>
      </c>
      <c r="E1004" t="s">
        <v>286</v>
      </c>
      <c r="F1004" t="s">
        <v>68</v>
      </c>
      <c r="G1004">
        <v>645.6</v>
      </c>
      <c r="H1004">
        <v>2.4089343759000004</v>
      </c>
      <c r="I1004" s="46">
        <f>ROUNDUP(H1004/30,0)*VLOOKUP(D1004,'报价表-配送'!$B$84:$I$88,8,0)</f>
        <v>0</v>
      </c>
      <c r="K1004" s="1"/>
      <c r="L1004" s="33"/>
      <c r="M1004" s="1"/>
      <c r="N1004" s="38">
        <f t="shared" si="15"/>
        <v>0</v>
      </c>
    </row>
    <row r="1005" spans="1:14" x14ac:dyDescent="0.25">
      <c r="A1005" t="s">
        <v>111</v>
      </c>
      <c r="B1005" t="s">
        <v>122</v>
      </c>
      <c r="C1005" s="62">
        <f>VLOOKUP(B1005,合并仓明细!$D$2:$F$74,3,0)</f>
        <v>187</v>
      </c>
      <c r="D1005" t="s">
        <v>413</v>
      </c>
      <c r="E1005" t="s">
        <v>286</v>
      </c>
      <c r="F1005" t="s">
        <v>67</v>
      </c>
      <c r="G1005">
        <v>1455.5393759999999</v>
      </c>
      <c r="H1005"/>
      <c r="K1005" s="1"/>
      <c r="L1005" s="33"/>
      <c r="M1005" s="1"/>
      <c r="N1005" s="38">
        <f t="shared" si="15"/>
        <v>0</v>
      </c>
    </row>
    <row r="1006" spans="1:14" x14ac:dyDescent="0.25">
      <c r="A1006" t="s">
        <v>111</v>
      </c>
      <c r="B1006" t="s">
        <v>122</v>
      </c>
      <c r="C1006" s="62">
        <f>VLOOKUP(B1006,合并仓明细!$D$2:$F$74,3,0)</f>
        <v>187</v>
      </c>
      <c r="D1006" t="s">
        <v>413</v>
      </c>
      <c r="E1006" t="s">
        <v>286</v>
      </c>
      <c r="F1006" t="s">
        <v>66</v>
      </c>
      <c r="G1006">
        <v>307.79499989999999</v>
      </c>
      <c r="H1006"/>
      <c r="K1006" s="1"/>
      <c r="L1006" s="33"/>
      <c r="M1006" s="1"/>
      <c r="N1006" s="38">
        <f t="shared" si="15"/>
        <v>0</v>
      </c>
    </row>
    <row r="1007" spans="1:14" x14ac:dyDescent="0.25">
      <c r="A1007" t="s">
        <v>111</v>
      </c>
      <c r="B1007" t="s">
        <v>122</v>
      </c>
      <c r="C1007" s="62">
        <f>VLOOKUP(B1007,合并仓明细!$D$2:$F$74,3,0)</f>
        <v>187</v>
      </c>
      <c r="D1007" t="s">
        <v>413</v>
      </c>
      <c r="E1007" t="s">
        <v>290</v>
      </c>
      <c r="F1007" t="s">
        <v>68</v>
      </c>
      <c r="G1007">
        <v>439.00799999999998</v>
      </c>
      <c r="H1007">
        <v>1.7767319462199997</v>
      </c>
      <c r="I1007" s="46">
        <f>ROUNDUP(H1007/30,0)*VLOOKUP(D1007,'报价表-配送'!$B$84:$I$88,8,0)</f>
        <v>0</v>
      </c>
      <c r="K1007" s="1"/>
      <c r="L1007" s="33"/>
      <c r="M1007" s="1"/>
      <c r="N1007" s="38">
        <f t="shared" si="15"/>
        <v>0</v>
      </c>
    </row>
    <row r="1008" spans="1:14" x14ac:dyDescent="0.25">
      <c r="A1008" t="s">
        <v>111</v>
      </c>
      <c r="B1008" t="s">
        <v>122</v>
      </c>
      <c r="C1008" s="62">
        <f>VLOOKUP(B1008,合并仓明细!$D$2:$F$74,3,0)</f>
        <v>187</v>
      </c>
      <c r="D1008" t="s">
        <v>413</v>
      </c>
      <c r="E1008" t="s">
        <v>290</v>
      </c>
      <c r="F1008" t="s">
        <v>67</v>
      </c>
      <c r="G1008">
        <v>285.99977999999999</v>
      </c>
      <c r="H1008"/>
      <c r="K1008" s="1"/>
      <c r="L1008" s="33"/>
      <c r="M1008" s="1"/>
      <c r="N1008" s="38">
        <f t="shared" si="15"/>
        <v>0</v>
      </c>
    </row>
    <row r="1009" spans="1:14" x14ac:dyDescent="0.25">
      <c r="A1009" t="s">
        <v>111</v>
      </c>
      <c r="B1009" t="s">
        <v>122</v>
      </c>
      <c r="C1009" s="62">
        <f>VLOOKUP(B1009,合并仓明细!$D$2:$F$74,3,0)</f>
        <v>187</v>
      </c>
      <c r="D1009" t="s">
        <v>413</v>
      </c>
      <c r="E1009" t="s">
        <v>290</v>
      </c>
      <c r="F1009" t="s">
        <v>66</v>
      </c>
      <c r="G1009">
        <v>1051.7241662199999</v>
      </c>
      <c r="H1009"/>
      <c r="K1009" s="1"/>
      <c r="L1009" s="33"/>
      <c r="M1009" s="1"/>
      <c r="N1009" s="38">
        <f t="shared" si="15"/>
        <v>0</v>
      </c>
    </row>
    <row r="1010" spans="1:14" x14ac:dyDescent="0.25">
      <c r="A1010" t="s">
        <v>111</v>
      </c>
      <c r="B1010" t="s">
        <v>122</v>
      </c>
      <c r="C1010" s="62">
        <f>VLOOKUP(B1010,合并仓明细!$D$2:$F$74,3,0)</f>
        <v>187</v>
      </c>
      <c r="D1010" t="s">
        <v>413</v>
      </c>
      <c r="E1010" t="s">
        <v>291</v>
      </c>
      <c r="F1010" t="s">
        <v>66</v>
      </c>
      <c r="G1010">
        <v>66.724999999999994</v>
      </c>
      <c r="H1010">
        <v>6.6724999999999993E-2</v>
      </c>
      <c r="K1010" s="1"/>
      <c r="L1010" s="37">
        <f>IF(H1010&gt;30,QUOTIENT(H1010,30)*VLOOKUP(D1010,'报价表-配送'!$B$84:$I$88,8,0),0)+IF(AND(MOD(H1010,30)&gt;18,MOD(H1010,30)&lt;=30),1,0)*VLOOKUP(D1010,'报价表-配送'!$B$84:$I$88,8,0)+IF(AND(MOD(H1010,30)&gt;8,MOD(H1010,30)&lt;=18),1*VLOOKUP(D1010,'报价表-配送'!$B$84:$I$88,7,0),0)+IF(AND(MOD(H1010,30)&lt;=8,MOD(H1010,30)&gt;2.5),1,0)*VLOOKUP(D1010,'报价表-配送'!$B$84:$I$88,6,0)+IF(AND(MOD(H1010,30)&lt;=2.5,MOD(H1010,30)&gt;=1.5),1,0)*VLOOKUP(D1010,'报价表-配送'!$B$84:$I$88,5,0)</f>
        <v>0</v>
      </c>
      <c r="M1010" s="39">
        <f>IF(AND(MOD(H1010,30)&lt;1.5,MOD(H1010,30)&gt;=0.5),H1010,0)*VLOOKUP(D1010,'报价表-配送'!$B$84:$I$88,4,0)*1000+IF(AND(MOD(H1010,30)&lt;0.5,MOD(H1010,30)&gt;=0.02),H1010,0)*VLOOKUP(D1010,'报价表-配送'!$B$84:$I$88,3,0)*1000+IF(AND(MOD(H1010,30)&lt;0.02),H1010,0)*VLOOKUP(D1010,'报价表-配送'!$B$84:$I$88,2,0)*1000</f>
        <v>0</v>
      </c>
      <c r="N1010" s="38">
        <f t="shared" si="15"/>
        <v>0</v>
      </c>
    </row>
    <row r="1011" spans="1:14" x14ac:dyDescent="0.25">
      <c r="A1011" t="s">
        <v>111</v>
      </c>
      <c r="B1011" t="s">
        <v>122</v>
      </c>
      <c r="C1011" s="62">
        <f>VLOOKUP(B1011,合并仓明细!$D$2:$F$74,3,0)</f>
        <v>187</v>
      </c>
      <c r="D1011" t="s">
        <v>413</v>
      </c>
      <c r="E1011" t="s">
        <v>358</v>
      </c>
      <c r="F1011" t="s">
        <v>66</v>
      </c>
      <c r="G1011">
        <v>91.449999999999989</v>
      </c>
      <c r="H1011">
        <v>9.144999999999999E-2</v>
      </c>
      <c r="K1011" s="1"/>
      <c r="L1011" s="37">
        <f>IF(H1011&gt;30,QUOTIENT(H1011,30)*VLOOKUP(D1011,'报价表-配送'!$B$84:$I$88,8,0),0)+IF(AND(MOD(H1011,30)&gt;18,MOD(H1011,30)&lt;=30),1,0)*VLOOKUP(D1011,'报价表-配送'!$B$84:$I$88,8,0)+IF(AND(MOD(H1011,30)&gt;8,MOD(H1011,30)&lt;=18),1*VLOOKUP(D1011,'报价表-配送'!$B$84:$I$88,7,0),0)+IF(AND(MOD(H1011,30)&lt;=8,MOD(H1011,30)&gt;2.5),1,0)*VLOOKUP(D1011,'报价表-配送'!$B$84:$I$88,6,0)+IF(AND(MOD(H1011,30)&lt;=2.5,MOD(H1011,30)&gt;=1.5),1,0)*VLOOKUP(D1011,'报价表-配送'!$B$84:$I$88,5,0)</f>
        <v>0</v>
      </c>
      <c r="M1011" s="39">
        <f>IF(AND(MOD(H1011,30)&lt;1.5,MOD(H1011,30)&gt;=0.5),H1011,0)*VLOOKUP(D1011,'报价表-配送'!$B$84:$I$88,4,0)*1000+IF(AND(MOD(H1011,30)&lt;0.5,MOD(H1011,30)&gt;=0.02),H1011,0)*VLOOKUP(D1011,'报价表-配送'!$B$84:$I$88,3,0)*1000+IF(AND(MOD(H1011,30)&lt;0.02),H1011,0)*VLOOKUP(D1011,'报价表-配送'!$B$84:$I$88,2,0)*1000</f>
        <v>0</v>
      </c>
      <c r="N1011" s="38">
        <f t="shared" si="15"/>
        <v>0</v>
      </c>
    </row>
    <row r="1012" spans="1:14" x14ac:dyDescent="0.25">
      <c r="A1012" t="s">
        <v>111</v>
      </c>
      <c r="B1012" t="s">
        <v>122</v>
      </c>
      <c r="C1012" s="62">
        <f>VLOOKUP(B1012,合并仓明细!$D$2:$F$74,3,0)</f>
        <v>187</v>
      </c>
      <c r="D1012" t="s">
        <v>413</v>
      </c>
      <c r="E1012" t="s">
        <v>325</v>
      </c>
      <c r="F1012" t="s">
        <v>67</v>
      </c>
      <c r="G1012">
        <v>1675.3037939999999</v>
      </c>
      <c r="H1012">
        <v>1.6850537939999999</v>
      </c>
      <c r="I1012" s="38">
        <f>IF(H1012&gt;30,QUOTIENT(H1012,30)*VLOOKUP(D1012,'报价表-配送'!$B$84:$I$88,8,0),0)+IF(AND(MOD(H1012,30)&gt;18,MOD(H1012,30)&lt;=30),1,0)*VLOOKUP(D1012,'报价表-配送'!$B$84:$I$88,8,0)</f>
        <v>0</v>
      </c>
      <c r="J1012" s="38">
        <f>IF(AND(MOD(H1012,30)&gt;8,MOD(H1012,30)&lt;=18),1*VLOOKUP(D1012,'报价表-配送'!$B$84:$I$88,7,0),0)</f>
        <v>0</v>
      </c>
      <c r="K1012" s="38">
        <f>IF(AND(MOD(H1012,30)&lt;=8,MOD(H1012,30)&gt;0),1,0)*VLOOKUP(D1012,'报价表-配送'!$B$84:$I$88,6,0)</f>
        <v>0</v>
      </c>
      <c r="L1012" s="33"/>
      <c r="M1012" s="1"/>
      <c r="N1012" s="38">
        <f t="shared" si="15"/>
        <v>0</v>
      </c>
    </row>
    <row r="1013" spans="1:14" x14ac:dyDescent="0.25">
      <c r="A1013" t="s">
        <v>111</v>
      </c>
      <c r="B1013" t="s">
        <v>122</v>
      </c>
      <c r="C1013" s="62">
        <f>VLOOKUP(B1013,合并仓明细!$D$2:$F$74,3,0)</f>
        <v>187</v>
      </c>
      <c r="D1013" t="s">
        <v>413</v>
      </c>
      <c r="E1013" t="s">
        <v>325</v>
      </c>
      <c r="F1013" t="s">
        <v>66</v>
      </c>
      <c r="G1013">
        <v>9.75</v>
      </c>
      <c r="H1013"/>
      <c r="K1013" s="1"/>
      <c r="L1013" s="33"/>
      <c r="M1013" s="1"/>
      <c r="N1013" s="38">
        <f t="shared" si="15"/>
        <v>0</v>
      </c>
    </row>
    <row r="1014" spans="1:14" x14ac:dyDescent="0.25">
      <c r="A1014" t="s">
        <v>111</v>
      </c>
      <c r="B1014" t="s">
        <v>122</v>
      </c>
      <c r="C1014" s="62">
        <f>VLOOKUP(B1014,合并仓明细!$D$2:$F$74,3,0)</f>
        <v>187</v>
      </c>
      <c r="D1014" t="s">
        <v>413</v>
      </c>
      <c r="E1014" t="s">
        <v>319</v>
      </c>
      <c r="F1014" t="s">
        <v>68</v>
      </c>
      <c r="G1014">
        <v>538.16699999999992</v>
      </c>
      <c r="H1014">
        <v>0.57522699999999982</v>
      </c>
      <c r="I1014" s="46">
        <f>ROUNDUP(H1014/30,0)*VLOOKUP(D1014,'报价表-配送'!$B$84:$I$88,8,0)</f>
        <v>0</v>
      </c>
      <c r="K1014" s="1"/>
      <c r="L1014" s="33"/>
      <c r="M1014" s="1"/>
      <c r="N1014" s="38">
        <f t="shared" si="15"/>
        <v>0</v>
      </c>
    </row>
    <row r="1015" spans="1:14" x14ac:dyDescent="0.25">
      <c r="A1015" t="s">
        <v>111</v>
      </c>
      <c r="B1015" t="s">
        <v>122</v>
      </c>
      <c r="C1015" s="62">
        <f>VLOOKUP(B1015,合并仓明细!$D$2:$F$74,3,0)</f>
        <v>187</v>
      </c>
      <c r="D1015" t="s">
        <v>413</v>
      </c>
      <c r="E1015" t="s">
        <v>319</v>
      </c>
      <c r="F1015" t="s">
        <v>66</v>
      </c>
      <c r="G1015">
        <v>37.06</v>
      </c>
      <c r="H1015"/>
      <c r="K1015" s="1"/>
      <c r="L1015" s="33"/>
      <c r="M1015" s="1"/>
      <c r="N1015" s="38">
        <f t="shared" si="15"/>
        <v>0</v>
      </c>
    </row>
    <row r="1016" spans="1:14" x14ac:dyDescent="0.25">
      <c r="A1016" t="s">
        <v>111</v>
      </c>
      <c r="B1016" t="s">
        <v>122</v>
      </c>
      <c r="C1016" s="62">
        <f>VLOOKUP(B1016,合并仓明细!$D$2:$F$74,3,0)</f>
        <v>187</v>
      </c>
      <c r="D1016" t="s">
        <v>413</v>
      </c>
      <c r="E1016" t="s">
        <v>357</v>
      </c>
      <c r="F1016" t="s">
        <v>68</v>
      </c>
      <c r="G1016">
        <v>1391.58</v>
      </c>
      <c r="H1016">
        <v>1.7197733332999998</v>
      </c>
      <c r="I1016" s="46">
        <f>ROUNDUP(H1016/30,0)*VLOOKUP(D1016,'报价表-配送'!$B$84:$I$88,8,0)</f>
        <v>0</v>
      </c>
      <c r="K1016" s="1"/>
      <c r="L1016" s="33"/>
      <c r="M1016" s="1"/>
      <c r="N1016" s="38">
        <f t="shared" si="15"/>
        <v>0</v>
      </c>
    </row>
    <row r="1017" spans="1:14" x14ac:dyDescent="0.25">
      <c r="A1017" t="s">
        <v>111</v>
      </c>
      <c r="B1017" t="s">
        <v>122</v>
      </c>
      <c r="C1017" s="62">
        <f>VLOOKUP(B1017,合并仓明细!$D$2:$F$74,3,0)</f>
        <v>187</v>
      </c>
      <c r="D1017" t="s">
        <v>413</v>
      </c>
      <c r="E1017" t="s">
        <v>357</v>
      </c>
      <c r="F1017" t="s">
        <v>66</v>
      </c>
      <c r="G1017">
        <v>328.19333330000001</v>
      </c>
      <c r="H1017"/>
      <c r="K1017" s="1"/>
      <c r="L1017" s="33"/>
      <c r="M1017" s="1"/>
      <c r="N1017" s="38">
        <f t="shared" si="15"/>
        <v>0</v>
      </c>
    </row>
    <row r="1018" spans="1:14" x14ac:dyDescent="0.25">
      <c r="A1018" t="s">
        <v>111</v>
      </c>
      <c r="B1018" t="s">
        <v>122</v>
      </c>
      <c r="C1018" s="62">
        <f>VLOOKUP(B1018,合并仓明细!$D$2:$F$74,3,0)</f>
        <v>187</v>
      </c>
      <c r="D1018" t="s">
        <v>413</v>
      </c>
      <c r="E1018" t="s">
        <v>253</v>
      </c>
      <c r="F1018" t="s">
        <v>66</v>
      </c>
      <c r="G1018">
        <v>176.72499999999999</v>
      </c>
      <c r="H1018">
        <v>0.17672499999999999</v>
      </c>
      <c r="K1018" s="1"/>
      <c r="L1018" s="37">
        <f>IF(H1018&gt;30,QUOTIENT(H1018,30)*VLOOKUP(D1018,'报价表-配送'!$B$84:$I$88,8,0),0)+IF(AND(MOD(H1018,30)&gt;18,MOD(H1018,30)&lt;=30),1,0)*VLOOKUP(D1018,'报价表-配送'!$B$84:$I$88,8,0)+IF(AND(MOD(H1018,30)&gt;8,MOD(H1018,30)&lt;=18),1*VLOOKUP(D1018,'报价表-配送'!$B$84:$I$88,7,0),0)+IF(AND(MOD(H1018,30)&lt;=8,MOD(H1018,30)&gt;2.5),1,0)*VLOOKUP(D1018,'报价表-配送'!$B$84:$I$88,6,0)+IF(AND(MOD(H1018,30)&lt;=2.5,MOD(H1018,30)&gt;=1.5),1,0)*VLOOKUP(D1018,'报价表-配送'!$B$84:$I$88,5,0)</f>
        <v>0</v>
      </c>
      <c r="M1018" s="39">
        <f>IF(AND(MOD(H1018,30)&lt;1.5,MOD(H1018,30)&gt;=0.5),H1018,0)*VLOOKUP(D1018,'报价表-配送'!$B$84:$I$88,4,0)*1000+IF(AND(MOD(H1018,30)&lt;0.5,MOD(H1018,30)&gt;=0.02),H1018,0)*VLOOKUP(D1018,'报价表-配送'!$B$84:$I$88,3,0)*1000+IF(AND(MOD(H1018,30)&lt;0.02),H1018,0)*VLOOKUP(D1018,'报价表-配送'!$B$84:$I$88,2,0)*1000</f>
        <v>0</v>
      </c>
      <c r="N1018" s="38">
        <f t="shared" si="15"/>
        <v>0</v>
      </c>
    </row>
    <row r="1019" spans="1:14" x14ac:dyDescent="0.25">
      <c r="A1019" t="s">
        <v>111</v>
      </c>
      <c r="B1019" t="s">
        <v>122</v>
      </c>
      <c r="C1019" s="62">
        <f>VLOOKUP(B1019,合并仓明细!$D$2:$F$74,3,0)</f>
        <v>187</v>
      </c>
      <c r="D1019" t="s">
        <v>413</v>
      </c>
      <c r="E1019" t="s">
        <v>254</v>
      </c>
      <c r="F1019" t="s">
        <v>68</v>
      </c>
      <c r="G1019">
        <v>830.06268</v>
      </c>
      <c r="H1019">
        <v>6.09720790125</v>
      </c>
      <c r="I1019" s="46">
        <f>ROUNDUP(H1019/30,0)*VLOOKUP(D1019,'报价表-配送'!$B$84:$I$88,8,0)</f>
        <v>0</v>
      </c>
      <c r="K1019" s="1"/>
      <c r="L1019" s="33"/>
      <c r="M1019" s="1"/>
      <c r="N1019" s="38">
        <f t="shared" si="15"/>
        <v>0</v>
      </c>
    </row>
    <row r="1020" spans="1:14" x14ac:dyDescent="0.25">
      <c r="A1020" t="s">
        <v>111</v>
      </c>
      <c r="B1020" t="s">
        <v>122</v>
      </c>
      <c r="C1020" s="62">
        <f>VLOOKUP(B1020,合并仓明细!$D$2:$F$74,3,0)</f>
        <v>187</v>
      </c>
      <c r="D1020" t="s">
        <v>413</v>
      </c>
      <c r="E1020" t="s">
        <v>254</v>
      </c>
      <c r="F1020" t="s">
        <v>67</v>
      </c>
      <c r="G1020">
        <v>4522.9043879999999</v>
      </c>
      <c r="H1020"/>
      <c r="K1020" s="1"/>
      <c r="L1020" s="33"/>
      <c r="M1020" s="1"/>
      <c r="N1020" s="38">
        <f t="shared" si="15"/>
        <v>0</v>
      </c>
    </row>
    <row r="1021" spans="1:14" x14ac:dyDescent="0.25">
      <c r="A1021" t="s">
        <v>111</v>
      </c>
      <c r="B1021" t="s">
        <v>122</v>
      </c>
      <c r="C1021" s="62">
        <f>VLOOKUP(B1021,合并仓明细!$D$2:$F$74,3,0)</f>
        <v>187</v>
      </c>
      <c r="D1021" t="s">
        <v>413</v>
      </c>
      <c r="E1021" t="s">
        <v>254</v>
      </c>
      <c r="F1021" t="s">
        <v>66</v>
      </c>
      <c r="G1021">
        <v>744.24083325000015</v>
      </c>
      <c r="H1021"/>
      <c r="K1021" s="1"/>
      <c r="L1021" s="33"/>
      <c r="M1021" s="1"/>
      <c r="N1021" s="38">
        <f t="shared" si="15"/>
        <v>0</v>
      </c>
    </row>
    <row r="1022" spans="1:14" x14ac:dyDescent="0.25">
      <c r="A1022" t="s">
        <v>111</v>
      </c>
      <c r="B1022" t="s">
        <v>123</v>
      </c>
      <c r="C1022" s="62">
        <f>VLOOKUP(B1022,合并仓明细!$D$2:$F$74,3,0)</f>
        <v>222</v>
      </c>
      <c r="D1022" s="44" t="s">
        <v>414</v>
      </c>
      <c r="E1022" t="s">
        <v>308</v>
      </c>
      <c r="F1022" t="s">
        <v>66</v>
      </c>
      <c r="G1022">
        <v>268.88499997999998</v>
      </c>
      <c r="H1022">
        <v>0.26888499997999998</v>
      </c>
      <c r="K1022" s="1"/>
      <c r="L1022" s="37">
        <f>IF(H1022&gt;30,QUOTIENT(H1022,30)*VLOOKUP(D1022,'报价表-配送'!$B$84:$I$88,8,0),0)+IF(AND(MOD(H1022,30)&gt;18,MOD(H1022,30)&lt;=30),1,0)*VLOOKUP(D1022,'报价表-配送'!$B$84:$I$88,8,0)+IF(AND(MOD(H1022,30)&gt;8,MOD(H1022,30)&lt;=18),1*VLOOKUP(D1022,'报价表-配送'!$B$84:$I$88,7,0),0)+IF(AND(MOD(H1022,30)&lt;=8,MOD(H1022,30)&gt;2.5),1,0)*VLOOKUP(D1022,'报价表-配送'!$B$84:$I$88,6,0)+IF(AND(MOD(H1022,30)&lt;=2.5,MOD(H1022,30)&gt;=1.5),1,0)*VLOOKUP(D1022,'报价表-配送'!$B$84:$I$88,5,0)</f>
        <v>0</v>
      </c>
      <c r="M1022" s="39">
        <f>IF(AND(MOD(H1022,30)&lt;1.5,MOD(H1022,30)&gt;=0.5),H1022,0)*VLOOKUP(D1022,'报价表-配送'!$B$84:$I$88,4,0)*1000+IF(AND(MOD(H1022,30)&lt;0.5,MOD(H1022,30)&gt;=0.02),H1022,0)*VLOOKUP(D1022,'报价表-配送'!$B$84:$I$88,3,0)*1000+IF(AND(MOD(H1022,30)&lt;0.02),H1022,0)*VLOOKUP(D1022,'报价表-配送'!$B$84:$I$88,2,0)*1000</f>
        <v>0</v>
      </c>
      <c r="N1022" s="38">
        <f t="shared" si="15"/>
        <v>0</v>
      </c>
    </row>
    <row r="1023" spans="1:14" x14ac:dyDescent="0.25">
      <c r="A1023" t="s">
        <v>111</v>
      </c>
      <c r="B1023" t="s">
        <v>123</v>
      </c>
      <c r="C1023" s="62">
        <f>VLOOKUP(B1023,合并仓明细!$D$2:$F$74,3,0)</f>
        <v>222</v>
      </c>
      <c r="D1023" s="44" t="s">
        <v>414</v>
      </c>
      <c r="E1023" t="s">
        <v>266</v>
      </c>
      <c r="F1023" t="s">
        <v>68</v>
      </c>
      <c r="G1023">
        <v>3211.9139999999998</v>
      </c>
      <c r="H1023">
        <v>16.728896225999996</v>
      </c>
      <c r="I1023" s="46">
        <f>ROUNDUP(H1023/30,0)*VLOOKUP(D1023,'报价表-配送'!$B$84:$I$88,8,0)</f>
        <v>0</v>
      </c>
      <c r="K1023" s="1"/>
      <c r="L1023" s="33"/>
      <c r="M1023" s="1"/>
      <c r="N1023" s="38">
        <f t="shared" si="15"/>
        <v>0</v>
      </c>
    </row>
    <row r="1024" spans="1:14" x14ac:dyDescent="0.25">
      <c r="A1024" t="s">
        <v>111</v>
      </c>
      <c r="B1024" t="s">
        <v>123</v>
      </c>
      <c r="C1024" s="62">
        <f>VLOOKUP(B1024,合并仓明细!$D$2:$F$74,3,0)</f>
        <v>222</v>
      </c>
      <c r="D1024" s="44" t="s">
        <v>414</v>
      </c>
      <c r="E1024" t="s">
        <v>266</v>
      </c>
      <c r="F1024" t="s">
        <v>67</v>
      </c>
      <c r="G1024">
        <v>12785.173475999998</v>
      </c>
      <c r="H1024"/>
      <c r="K1024" s="1"/>
      <c r="L1024" s="33"/>
      <c r="M1024" s="1"/>
      <c r="N1024" s="38">
        <f t="shared" si="15"/>
        <v>0</v>
      </c>
    </row>
    <row r="1025" spans="1:14" x14ac:dyDescent="0.25">
      <c r="A1025" t="s">
        <v>111</v>
      </c>
      <c r="B1025" t="s">
        <v>123</v>
      </c>
      <c r="C1025" s="62">
        <f>VLOOKUP(B1025,合并仓明细!$D$2:$F$74,3,0)</f>
        <v>222</v>
      </c>
      <c r="D1025" s="44" t="s">
        <v>414</v>
      </c>
      <c r="E1025" t="s">
        <v>266</v>
      </c>
      <c r="F1025" t="s">
        <v>66</v>
      </c>
      <c r="G1025">
        <v>731.80875000000003</v>
      </c>
      <c r="H1025"/>
      <c r="K1025" s="1"/>
      <c r="L1025" s="33"/>
      <c r="M1025" s="1"/>
      <c r="N1025" s="38">
        <f t="shared" si="15"/>
        <v>0</v>
      </c>
    </row>
    <row r="1026" spans="1:14" x14ac:dyDescent="0.25">
      <c r="A1026" t="s">
        <v>111</v>
      </c>
      <c r="B1026" t="s">
        <v>123</v>
      </c>
      <c r="C1026" s="62">
        <f>VLOOKUP(B1026,合并仓明细!$D$2:$F$74,3,0)</f>
        <v>222</v>
      </c>
      <c r="D1026" s="44" t="s">
        <v>414</v>
      </c>
      <c r="E1026" t="s">
        <v>271</v>
      </c>
      <c r="F1026" t="s">
        <v>66</v>
      </c>
      <c r="G1026">
        <v>29.02</v>
      </c>
      <c r="H1026">
        <v>2.9020000000000001E-2</v>
      </c>
      <c r="K1026" s="1"/>
      <c r="L1026" s="37">
        <f>IF(H1026&gt;30,QUOTIENT(H1026,30)*VLOOKUP(D1026,'报价表-配送'!$B$84:$I$88,8,0),0)+IF(AND(MOD(H1026,30)&gt;18,MOD(H1026,30)&lt;=30),1,0)*VLOOKUP(D1026,'报价表-配送'!$B$84:$I$88,8,0)+IF(AND(MOD(H1026,30)&gt;8,MOD(H1026,30)&lt;=18),1*VLOOKUP(D1026,'报价表-配送'!$B$84:$I$88,7,0),0)+IF(AND(MOD(H1026,30)&lt;=8,MOD(H1026,30)&gt;2.5),1,0)*VLOOKUP(D1026,'报价表-配送'!$B$84:$I$88,6,0)+IF(AND(MOD(H1026,30)&lt;=2.5,MOD(H1026,30)&gt;=1.5),1,0)*VLOOKUP(D1026,'报价表-配送'!$B$84:$I$88,5,0)</f>
        <v>0</v>
      </c>
      <c r="M1026" s="39">
        <f>IF(AND(MOD(H1026,30)&lt;1.5,MOD(H1026,30)&gt;=0.5),H1026,0)*VLOOKUP(D1026,'报价表-配送'!$B$84:$I$88,4,0)*1000+IF(AND(MOD(H1026,30)&lt;0.5,MOD(H1026,30)&gt;=0.02),H1026,0)*VLOOKUP(D1026,'报价表-配送'!$B$84:$I$88,3,0)*1000+IF(AND(MOD(H1026,30)&lt;0.02),H1026,0)*VLOOKUP(D1026,'报价表-配送'!$B$84:$I$88,2,0)*1000</f>
        <v>0</v>
      </c>
      <c r="N1026" s="38">
        <f t="shared" si="15"/>
        <v>0</v>
      </c>
    </row>
    <row r="1027" spans="1:14" x14ac:dyDescent="0.25">
      <c r="A1027" t="s">
        <v>111</v>
      </c>
      <c r="B1027" t="s">
        <v>123</v>
      </c>
      <c r="C1027" s="62">
        <f>VLOOKUP(B1027,合并仓明细!$D$2:$F$74,3,0)</f>
        <v>222</v>
      </c>
      <c r="D1027" s="44" t="s">
        <v>414</v>
      </c>
      <c r="E1027" t="s">
        <v>272</v>
      </c>
      <c r="F1027" t="s">
        <v>66</v>
      </c>
      <c r="G1027">
        <v>7.5</v>
      </c>
      <c r="H1027">
        <v>7.4999999999999997E-3</v>
      </c>
      <c r="K1027" s="1"/>
      <c r="L1027" s="37">
        <f>IF(H1027&gt;30,QUOTIENT(H1027,30)*VLOOKUP(D1027,'报价表-配送'!$B$84:$I$88,8,0),0)+IF(AND(MOD(H1027,30)&gt;18,MOD(H1027,30)&lt;=30),1,0)*VLOOKUP(D1027,'报价表-配送'!$B$84:$I$88,8,0)+IF(AND(MOD(H1027,30)&gt;8,MOD(H1027,30)&lt;=18),1*VLOOKUP(D1027,'报价表-配送'!$B$84:$I$88,7,0),0)+IF(AND(MOD(H1027,30)&lt;=8,MOD(H1027,30)&gt;2.5),1,0)*VLOOKUP(D1027,'报价表-配送'!$B$84:$I$88,6,0)+IF(AND(MOD(H1027,30)&lt;=2.5,MOD(H1027,30)&gt;=1.5),1,0)*VLOOKUP(D1027,'报价表-配送'!$B$84:$I$88,5,0)</f>
        <v>0</v>
      </c>
      <c r="M1027" s="39">
        <f>IF(AND(MOD(H1027,30)&lt;1.5,MOD(H1027,30)&gt;=0.5),H1027,0)*VLOOKUP(D1027,'报价表-配送'!$B$84:$I$88,4,0)*1000+IF(AND(MOD(H1027,30)&lt;0.5,MOD(H1027,30)&gt;=0.02),H1027,0)*VLOOKUP(D1027,'报价表-配送'!$B$84:$I$88,3,0)*1000+IF(AND(MOD(H1027,30)&lt;0.02),H1027,0)*VLOOKUP(D1027,'报价表-配送'!$B$84:$I$88,2,0)*1000</f>
        <v>0</v>
      </c>
      <c r="N1027" s="38">
        <f t="shared" si="15"/>
        <v>0</v>
      </c>
    </row>
    <row r="1028" spans="1:14" x14ac:dyDescent="0.25">
      <c r="A1028" t="s">
        <v>111</v>
      </c>
      <c r="B1028" t="s">
        <v>123</v>
      </c>
      <c r="C1028" s="62">
        <f>VLOOKUP(B1028,合并仓明细!$D$2:$F$74,3,0)</f>
        <v>222</v>
      </c>
      <c r="D1028" s="44" t="s">
        <v>414</v>
      </c>
      <c r="E1028" t="s">
        <v>278</v>
      </c>
      <c r="F1028" t="s">
        <v>67</v>
      </c>
      <c r="G1028">
        <v>21197.834417999999</v>
      </c>
      <c r="H1028">
        <v>21.352769418000001</v>
      </c>
      <c r="I1028" s="38">
        <f>IF(H1028&gt;30,QUOTIENT(H1028,30)*VLOOKUP(D1028,'报价表-配送'!$B$84:$I$88,8,0),0)+IF(AND(MOD(H1028,30)&gt;18,MOD(H1028,30)&lt;=30),1,0)*VLOOKUP(D1028,'报价表-配送'!$B$84:$I$88,8,0)</f>
        <v>0</v>
      </c>
      <c r="J1028" s="38">
        <f>IF(AND(MOD(H1028,30)&gt;8,MOD(H1028,30)&lt;=18),1*VLOOKUP(D1028,'报价表-配送'!$B$84:$I$88,7,0),0)</f>
        <v>0</v>
      </c>
      <c r="K1028" s="38">
        <f>IF(AND(MOD(H1028,30)&lt;=8,MOD(H1028,30)&gt;0),1,0)*VLOOKUP(D1028,'报价表-配送'!$B$84:$I$88,6,0)</f>
        <v>0</v>
      </c>
      <c r="L1028" s="33"/>
      <c r="M1028" s="1"/>
      <c r="N1028" s="38">
        <f t="shared" si="15"/>
        <v>0</v>
      </c>
    </row>
    <row r="1029" spans="1:14" x14ac:dyDescent="0.25">
      <c r="A1029" t="s">
        <v>111</v>
      </c>
      <c r="B1029" t="s">
        <v>123</v>
      </c>
      <c r="C1029" s="62">
        <f>VLOOKUP(B1029,合并仓明细!$D$2:$F$74,3,0)</f>
        <v>222</v>
      </c>
      <c r="D1029" s="44" t="s">
        <v>414</v>
      </c>
      <c r="E1029" t="s">
        <v>278</v>
      </c>
      <c r="F1029" t="s">
        <v>66</v>
      </c>
      <c r="G1029">
        <v>154.935</v>
      </c>
      <c r="H1029"/>
      <c r="K1029" s="1"/>
      <c r="L1029" s="37"/>
      <c r="M1029" s="39"/>
      <c r="N1029" s="38">
        <f t="shared" si="15"/>
        <v>0</v>
      </c>
    </row>
    <row r="1030" spans="1:14" x14ac:dyDescent="0.25">
      <c r="A1030" t="s">
        <v>111</v>
      </c>
      <c r="B1030" t="s">
        <v>123</v>
      </c>
      <c r="C1030" s="62">
        <f>VLOOKUP(B1030,合并仓明细!$D$2:$F$74,3,0)</f>
        <v>222</v>
      </c>
      <c r="D1030" s="44" t="s">
        <v>414</v>
      </c>
      <c r="E1030" t="s">
        <v>280</v>
      </c>
      <c r="F1030" t="s">
        <v>66</v>
      </c>
      <c r="G1030">
        <v>1.46</v>
      </c>
      <c r="H1030">
        <v>1.4599999999999999E-3</v>
      </c>
      <c r="I1030" s="38"/>
      <c r="J1030" s="38"/>
      <c r="K1030" s="38"/>
      <c r="L1030" s="37">
        <f>IF(H1030&gt;30,QUOTIENT(H1030,30)*VLOOKUP(D1030,'报价表-配送'!$B$84:$I$88,8,0),0)+IF(AND(MOD(H1030,30)&gt;18,MOD(H1030,30)&lt;=30),1,0)*VLOOKUP(D1030,'报价表-配送'!$B$84:$I$88,8,0)+IF(AND(MOD(H1030,30)&gt;8,MOD(H1030,30)&lt;=18),1*VLOOKUP(D1030,'报价表-配送'!$B$84:$I$88,7,0),0)+IF(AND(MOD(H1030,30)&lt;=8,MOD(H1030,30)&gt;2.5),1,0)*VLOOKUP(D1030,'报价表-配送'!$B$84:$I$88,6,0)+IF(AND(MOD(H1030,30)&lt;=2.5,MOD(H1030,30)&gt;=1.5),1,0)*VLOOKUP(D1030,'报价表-配送'!$B$84:$I$88,5,0)</f>
        <v>0</v>
      </c>
      <c r="M1030" s="39">
        <f>IF(AND(MOD(H1030,30)&lt;1.5,MOD(H1030,30)&gt;=0.5),H1030,0)*VLOOKUP(D1030,'报价表-配送'!$B$84:$I$88,4,0)*1000+IF(AND(MOD(H1030,30)&lt;0.5,MOD(H1030,30)&gt;=0.02),H1030,0)*VLOOKUP(D1030,'报价表-配送'!$B$84:$I$88,3,0)*1000+IF(AND(MOD(H1030,30)&lt;0.02),H1030,0)*VLOOKUP(D1030,'报价表-配送'!$B$84:$I$88,2,0)*1000</f>
        <v>0</v>
      </c>
      <c r="N1030" s="38">
        <f t="shared" si="15"/>
        <v>0</v>
      </c>
    </row>
    <row r="1031" spans="1:14" x14ac:dyDescent="0.25">
      <c r="A1031" t="s">
        <v>111</v>
      </c>
      <c r="B1031" t="s">
        <v>123</v>
      </c>
      <c r="C1031" s="62">
        <f>VLOOKUP(B1031,合并仓明细!$D$2:$F$74,3,0)</f>
        <v>222</v>
      </c>
      <c r="D1031" s="44" t="s">
        <v>414</v>
      </c>
      <c r="E1031" t="s">
        <v>339</v>
      </c>
      <c r="F1031" t="s">
        <v>66</v>
      </c>
      <c r="G1031">
        <v>30</v>
      </c>
      <c r="H1031">
        <v>0.03</v>
      </c>
      <c r="K1031" s="1"/>
      <c r="L1031" s="37">
        <f>IF(H1031&gt;30,QUOTIENT(H1031,30)*VLOOKUP(D1031,'报价表-配送'!$B$84:$I$88,8,0),0)+IF(AND(MOD(H1031,30)&gt;18,MOD(H1031,30)&lt;=30),1,0)*VLOOKUP(D1031,'报价表-配送'!$B$84:$I$88,8,0)+IF(AND(MOD(H1031,30)&gt;8,MOD(H1031,30)&lt;=18),1*VLOOKUP(D1031,'报价表-配送'!$B$84:$I$88,7,0),0)+IF(AND(MOD(H1031,30)&lt;=8,MOD(H1031,30)&gt;2.5),1,0)*VLOOKUP(D1031,'报价表-配送'!$B$84:$I$88,6,0)+IF(AND(MOD(H1031,30)&lt;=2.5,MOD(H1031,30)&gt;=1.5),1,0)*VLOOKUP(D1031,'报价表-配送'!$B$84:$I$88,5,0)</f>
        <v>0</v>
      </c>
      <c r="M1031" s="39">
        <f>IF(AND(MOD(H1031,30)&lt;1.5,MOD(H1031,30)&gt;=0.5),H1031,0)*VLOOKUP(D1031,'报价表-配送'!$B$84:$I$88,4,0)*1000+IF(AND(MOD(H1031,30)&lt;0.5,MOD(H1031,30)&gt;=0.02),H1031,0)*VLOOKUP(D1031,'报价表-配送'!$B$84:$I$88,3,0)*1000+IF(AND(MOD(H1031,30)&lt;0.02),H1031,0)*VLOOKUP(D1031,'报价表-配送'!$B$84:$I$88,2,0)*1000</f>
        <v>0</v>
      </c>
      <c r="N1031" s="38">
        <f t="shared" si="15"/>
        <v>0</v>
      </c>
    </row>
    <row r="1032" spans="1:14" x14ac:dyDescent="0.25">
      <c r="A1032" t="s">
        <v>111</v>
      </c>
      <c r="B1032" t="s">
        <v>123</v>
      </c>
      <c r="C1032" s="62">
        <f>VLOOKUP(B1032,合并仓明细!$D$2:$F$74,3,0)</f>
        <v>222</v>
      </c>
      <c r="D1032" s="44" t="s">
        <v>414</v>
      </c>
      <c r="E1032" t="s">
        <v>324</v>
      </c>
      <c r="F1032" t="s">
        <v>66</v>
      </c>
      <c r="G1032">
        <v>356.14499999999998</v>
      </c>
      <c r="H1032">
        <v>0.35614499999999999</v>
      </c>
      <c r="K1032" s="1"/>
      <c r="L1032" s="37">
        <f>IF(H1032&gt;30,QUOTIENT(H1032,30)*VLOOKUP(D1032,'报价表-配送'!$B$84:$I$88,8,0),0)+IF(AND(MOD(H1032,30)&gt;18,MOD(H1032,30)&lt;=30),1,0)*VLOOKUP(D1032,'报价表-配送'!$B$84:$I$88,8,0)+IF(AND(MOD(H1032,30)&gt;8,MOD(H1032,30)&lt;=18),1*VLOOKUP(D1032,'报价表-配送'!$B$84:$I$88,7,0),0)+IF(AND(MOD(H1032,30)&lt;=8,MOD(H1032,30)&gt;2.5),1,0)*VLOOKUP(D1032,'报价表-配送'!$B$84:$I$88,6,0)+IF(AND(MOD(H1032,30)&lt;=2.5,MOD(H1032,30)&gt;=1.5),1,0)*VLOOKUP(D1032,'报价表-配送'!$B$84:$I$88,5,0)</f>
        <v>0</v>
      </c>
      <c r="M1032" s="39">
        <f>IF(AND(MOD(H1032,30)&lt;1.5,MOD(H1032,30)&gt;=0.5),H1032,0)*VLOOKUP(D1032,'报价表-配送'!$B$84:$I$88,4,0)*1000+IF(AND(MOD(H1032,30)&lt;0.5,MOD(H1032,30)&gt;=0.02),H1032,0)*VLOOKUP(D1032,'报价表-配送'!$B$84:$I$88,3,0)*1000+IF(AND(MOD(H1032,30)&lt;0.02),H1032,0)*VLOOKUP(D1032,'报价表-配送'!$B$84:$I$88,2,0)*1000</f>
        <v>0</v>
      </c>
      <c r="N1032" s="38">
        <f t="shared" si="15"/>
        <v>0</v>
      </c>
    </row>
    <row r="1033" spans="1:14" x14ac:dyDescent="0.25">
      <c r="A1033" t="s">
        <v>111</v>
      </c>
      <c r="B1033" t="s">
        <v>123</v>
      </c>
      <c r="C1033" s="62">
        <f>VLOOKUP(B1033,合并仓明细!$D$2:$F$74,3,0)</f>
        <v>222</v>
      </c>
      <c r="D1033" s="44" t="s">
        <v>414</v>
      </c>
      <c r="E1033" t="s">
        <v>359</v>
      </c>
      <c r="F1033" t="s">
        <v>66</v>
      </c>
      <c r="G1033">
        <v>30.3</v>
      </c>
      <c r="H1033">
        <v>3.0300000000000001E-2</v>
      </c>
      <c r="I1033" s="38"/>
      <c r="J1033" s="38"/>
      <c r="K1033" s="38"/>
      <c r="L1033" s="37">
        <f>IF(H1033&gt;30,QUOTIENT(H1033,30)*VLOOKUP(D1033,'报价表-配送'!$B$84:$I$88,8,0),0)+IF(AND(MOD(H1033,30)&gt;18,MOD(H1033,30)&lt;=30),1,0)*VLOOKUP(D1033,'报价表-配送'!$B$84:$I$88,8,0)+IF(AND(MOD(H1033,30)&gt;8,MOD(H1033,30)&lt;=18),1*VLOOKUP(D1033,'报价表-配送'!$B$84:$I$88,7,0),0)+IF(AND(MOD(H1033,30)&lt;=8,MOD(H1033,30)&gt;2.5),1,0)*VLOOKUP(D1033,'报价表-配送'!$B$84:$I$88,6,0)+IF(AND(MOD(H1033,30)&lt;=2.5,MOD(H1033,30)&gt;=1.5),1,0)*VLOOKUP(D1033,'报价表-配送'!$B$84:$I$88,5,0)</f>
        <v>0</v>
      </c>
      <c r="M1033" s="39">
        <f>IF(AND(MOD(H1033,30)&lt;1.5,MOD(H1033,30)&gt;=0.5),H1033,0)*VLOOKUP(D1033,'报价表-配送'!$B$84:$I$88,4,0)*1000+IF(AND(MOD(H1033,30)&lt;0.5,MOD(H1033,30)&gt;=0.02),H1033,0)*VLOOKUP(D1033,'报价表-配送'!$B$84:$I$88,3,0)*1000+IF(AND(MOD(H1033,30)&lt;0.02),H1033,0)*VLOOKUP(D1033,'报价表-配送'!$B$84:$I$88,2,0)*1000</f>
        <v>0</v>
      </c>
      <c r="N1033" s="38">
        <f t="shared" si="15"/>
        <v>0</v>
      </c>
    </row>
    <row r="1034" spans="1:14" x14ac:dyDescent="0.25">
      <c r="A1034" t="s">
        <v>111</v>
      </c>
      <c r="B1034" t="s">
        <v>123</v>
      </c>
      <c r="C1034" s="62">
        <f>VLOOKUP(B1034,合并仓明细!$D$2:$F$74,3,0)</f>
        <v>222</v>
      </c>
      <c r="D1034" s="44" t="s">
        <v>414</v>
      </c>
      <c r="E1034" t="s">
        <v>317</v>
      </c>
      <c r="F1034" t="s">
        <v>66</v>
      </c>
      <c r="G1034">
        <v>282.64333329999999</v>
      </c>
      <c r="H1034">
        <v>0.28264333330000002</v>
      </c>
      <c r="K1034" s="1"/>
      <c r="L1034" s="37">
        <f>IF(H1034&gt;30,QUOTIENT(H1034,30)*VLOOKUP(D1034,'报价表-配送'!$B$84:$I$88,8,0),0)+IF(AND(MOD(H1034,30)&gt;18,MOD(H1034,30)&lt;=30),1,0)*VLOOKUP(D1034,'报价表-配送'!$B$84:$I$88,8,0)+IF(AND(MOD(H1034,30)&gt;8,MOD(H1034,30)&lt;=18),1*VLOOKUP(D1034,'报价表-配送'!$B$84:$I$88,7,0),0)+IF(AND(MOD(H1034,30)&lt;=8,MOD(H1034,30)&gt;2.5),1,0)*VLOOKUP(D1034,'报价表-配送'!$B$84:$I$88,6,0)+IF(AND(MOD(H1034,30)&lt;=2.5,MOD(H1034,30)&gt;=1.5),1,0)*VLOOKUP(D1034,'报价表-配送'!$B$84:$I$88,5,0)</f>
        <v>0</v>
      </c>
      <c r="M1034" s="39">
        <f>IF(AND(MOD(H1034,30)&lt;1.5,MOD(H1034,30)&gt;=0.5),H1034,0)*VLOOKUP(D1034,'报价表-配送'!$B$84:$I$88,4,0)*1000+IF(AND(MOD(H1034,30)&lt;0.5,MOD(H1034,30)&gt;=0.02),H1034,0)*VLOOKUP(D1034,'报价表-配送'!$B$84:$I$88,3,0)*1000+IF(AND(MOD(H1034,30)&lt;0.02),H1034,0)*VLOOKUP(D1034,'报价表-配送'!$B$84:$I$88,2,0)*1000</f>
        <v>0</v>
      </c>
      <c r="N1034" s="38">
        <f t="shared" si="15"/>
        <v>0</v>
      </c>
    </row>
    <row r="1035" spans="1:14" x14ac:dyDescent="0.25">
      <c r="A1035" t="s">
        <v>111</v>
      </c>
      <c r="B1035" t="s">
        <v>123</v>
      </c>
      <c r="C1035" s="62">
        <f>VLOOKUP(B1035,合并仓明细!$D$2:$F$74,3,0)</f>
        <v>222</v>
      </c>
      <c r="D1035" s="44" t="s">
        <v>414</v>
      </c>
      <c r="E1035" t="s">
        <v>249</v>
      </c>
      <c r="F1035" t="s">
        <v>66</v>
      </c>
      <c r="G1035">
        <v>5.375</v>
      </c>
      <c r="H1035">
        <v>5.3749999999999996E-3</v>
      </c>
      <c r="I1035" s="46"/>
      <c r="J1035" s="38"/>
      <c r="K1035" s="38"/>
      <c r="L1035" s="37">
        <f>IF(H1035&gt;30,QUOTIENT(H1035,30)*VLOOKUP(D1035,'报价表-配送'!$B$84:$I$88,8,0),0)+IF(AND(MOD(H1035,30)&gt;18,MOD(H1035,30)&lt;=30),1,0)*VLOOKUP(D1035,'报价表-配送'!$B$84:$I$88,8,0)+IF(AND(MOD(H1035,30)&gt;8,MOD(H1035,30)&lt;=18),1*VLOOKUP(D1035,'报价表-配送'!$B$84:$I$88,7,0),0)+IF(AND(MOD(H1035,30)&lt;=8,MOD(H1035,30)&gt;2.5),1,0)*VLOOKUP(D1035,'报价表-配送'!$B$84:$I$88,6,0)+IF(AND(MOD(H1035,30)&lt;=2.5,MOD(H1035,30)&gt;=1.5),1,0)*VLOOKUP(D1035,'报价表-配送'!$B$84:$I$88,5,0)</f>
        <v>0</v>
      </c>
      <c r="M1035" s="39">
        <f>IF(AND(MOD(H1035,30)&lt;1.5,MOD(H1035,30)&gt;=0.5),H1035,0)*VLOOKUP(D1035,'报价表-配送'!$B$84:$I$88,4,0)*1000+IF(AND(MOD(H1035,30)&lt;0.5,MOD(H1035,30)&gt;=0.02),H1035,0)*VLOOKUP(D1035,'报价表-配送'!$B$84:$I$88,3,0)*1000+IF(AND(MOD(H1035,30)&lt;0.02),H1035,0)*VLOOKUP(D1035,'报价表-配送'!$B$84:$I$88,2,0)*1000</f>
        <v>0</v>
      </c>
      <c r="N1035" s="38">
        <f t="shared" si="15"/>
        <v>0</v>
      </c>
    </row>
    <row r="1036" spans="1:14" x14ac:dyDescent="0.25">
      <c r="A1036" t="s">
        <v>111</v>
      </c>
      <c r="B1036" t="s">
        <v>123</v>
      </c>
      <c r="C1036" s="62">
        <f>VLOOKUP(B1036,合并仓明细!$D$2:$F$74,3,0)</f>
        <v>222</v>
      </c>
      <c r="D1036" s="44" t="s">
        <v>414</v>
      </c>
      <c r="E1036" t="s">
        <v>318</v>
      </c>
      <c r="F1036" t="s">
        <v>68</v>
      </c>
      <c r="G1036">
        <v>3734.8284000000003</v>
      </c>
      <c r="H1036">
        <v>4.7991184000000002</v>
      </c>
      <c r="I1036" s="46">
        <f>ROUNDUP(H1036/30,0)*VLOOKUP(D1036,'报价表-配送'!$B$84:$I$88,8,0)</f>
        <v>0</v>
      </c>
      <c r="K1036" s="1"/>
      <c r="L1036" s="33"/>
      <c r="M1036" s="1"/>
      <c r="N1036" s="38">
        <f t="shared" si="15"/>
        <v>0</v>
      </c>
    </row>
    <row r="1037" spans="1:14" x14ac:dyDescent="0.25">
      <c r="A1037" t="s">
        <v>111</v>
      </c>
      <c r="B1037" t="s">
        <v>123</v>
      </c>
      <c r="C1037" s="62">
        <f>VLOOKUP(B1037,合并仓明细!$D$2:$F$74,3,0)</f>
        <v>222</v>
      </c>
      <c r="D1037" s="44" t="s">
        <v>414</v>
      </c>
      <c r="E1037" t="s">
        <v>318</v>
      </c>
      <c r="F1037" t="s">
        <v>66</v>
      </c>
      <c r="G1037">
        <v>1064.29</v>
      </c>
      <c r="H1037"/>
      <c r="K1037" s="1"/>
      <c r="L1037" s="33"/>
      <c r="M1037" s="1"/>
      <c r="N1037" s="38">
        <f t="shared" si="15"/>
        <v>0</v>
      </c>
    </row>
    <row r="1038" spans="1:14" x14ac:dyDescent="0.25">
      <c r="A1038" t="s">
        <v>111</v>
      </c>
      <c r="B1038" t="s">
        <v>123</v>
      </c>
      <c r="C1038" s="62">
        <f>VLOOKUP(B1038,合并仓明细!$D$2:$F$74,3,0)</f>
        <v>222</v>
      </c>
      <c r="D1038" s="44" t="s">
        <v>414</v>
      </c>
      <c r="E1038" t="s">
        <v>321</v>
      </c>
      <c r="F1038" t="s">
        <v>66</v>
      </c>
      <c r="G1038">
        <v>339.46000000000004</v>
      </c>
      <c r="H1038">
        <v>0.33946000000000004</v>
      </c>
      <c r="I1038" s="46"/>
      <c r="J1038" s="38"/>
      <c r="K1038" s="38"/>
      <c r="L1038" s="37">
        <f>IF(H1038&gt;30,QUOTIENT(H1038,30)*VLOOKUP(D1038,'报价表-配送'!$B$84:$I$88,8,0),0)+IF(AND(MOD(H1038,30)&gt;18,MOD(H1038,30)&lt;=30),1,0)*VLOOKUP(D1038,'报价表-配送'!$B$84:$I$88,8,0)+IF(AND(MOD(H1038,30)&gt;8,MOD(H1038,30)&lt;=18),1*VLOOKUP(D1038,'报价表-配送'!$B$84:$I$88,7,0),0)+IF(AND(MOD(H1038,30)&lt;=8,MOD(H1038,30)&gt;2.5),1,0)*VLOOKUP(D1038,'报价表-配送'!$B$84:$I$88,6,0)+IF(AND(MOD(H1038,30)&lt;=2.5,MOD(H1038,30)&gt;=1.5),1,0)*VLOOKUP(D1038,'报价表-配送'!$B$84:$I$88,5,0)</f>
        <v>0</v>
      </c>
      <c r="M1038" s="39">
        <f>IF(AND(MOD(H1038,30)&lt;1.5,MOD(H1038,30)&gt;=0.5),H1038,0)*VLOOKUP(D1038,'报价表-配送'!$B$84:$I$88,4,0)*1000+IF(AND(MOD(H1038,30)&lt;0.5,MOD(H1038,30)&gt;=0.02),H1038,0)*VLOOKUP(D1038,'报价表-配送'!$B$84:$I$88,3,0)*1000+IF(AND(MOD(H1038,30)&lt;0.02),H1038,0)*VLOOKUP(D1038,'报价表-配送'!$B$84:$I$88,2,0)*1000</f>
        <v>0</v>
      </c>
      <c r="N1038" s="38">
        <f t="shared" si="15"/>
        <v>0</v>
      </c>
    </row>
    <row r="1039" spans="1:14" x14ac:dyDescent="0.25">
      <c r="A1039" t="s">
        <v>111</v>
      </c>
      <c r="B1039" t="s">
        <v>124</v>
      </c>
      <c r="C1039" s="62">
        <f>VLOOKUP(B1039,合并仓明细!$D$2:$F$74,3,0)</f>
        <v>229</v>
      </c>
      <c r="D1039" s="44" t="s">
        <v>414</v>
      </c>
      <c r="E1039" t="s">
        <v>261</v>
      </c>
      <c r="F1039" t="s">
        <v>66</v>
      </c>
      <c r="G1039">
        <v>505.92</v>
      </c>
      <c r="H1039">
        <v>0.50592000000000004</v>
      </c>
      <c r="K1039" s="1"/>
      <c r="L1039" s="37">
        <f>IF(H1039&gt;30,QUOTIENT(H1039,30)*VLOOKUP(D1039,'报价表-配送'!$B$84:$I$88,8,0),0)+IF(AND(MOD(H1039,30)&gt;18,MOD(H1039,30)&lt;=30),1,0)*VLOOKUP(D1039,'报价表-配送'!$B$84:$I$88,8,0)+IF(AND(MOD(H1039,30)&gt;8,MOD(H1039,30)&lt;=18),1*VLOOKUP(D1039,'报价表-配送'!$B$84:$I$88,7,0),0)+IF(AND(MOD(H1039,30)&lt;=8,MOD(H1039,30)&gt;2.5),1,0)*VLOOKUP(D1039,'报价表-配送'!$B$84:$I$88,6,0)+IF(AND(MOD(H1039,30)&lt;=2.5,MOD(H1039,30)&gt;=1.5),1,0)*VLOOKUP(D1039,'报价表-配送'!$B$84:$I$88,5,0)</f>
        <v>0</v>
      </c>
      <c r="M1039" s="39">
        <f>IF(AND(MOD(H1039,30)&lt;1.5,MOD(H1039,30)&gt;=0.5),H1039,0)*VLOOKUP(D1039,'报价表-配送'!$B$84:$I$88,4,0)*1000+IF(AND(MOD(H1039,30)&lt;0.5,MOD(H1039,30)&gt;=0.02),H1039,0)*VLOOKUP(D1039,'报价表-配送'!$B$84:$I$88,3,0)*1000+IF(AND(MOD(H1039,30)&lt;0.02),H1039,0)*VLOOKUP(D1039,'报价表-配送'!$B$84:$I$88,2,0)*1000</f>
        <v>0</v>
      </c>
      <c r="N1039" s="38">
        <f t="shared" si="15"/>
        <v>0</v>
      </c>
    </row>
    <row r="1040" spans="1:14" x14ac:dyDescent="0.25">
      <c r="A1040" t="s">
        <v>111</v>
      </c>
      <c r="B1040" t="s">
        <v>124</v>
      </c>
      <c r="C1040" s="62">
        <f>VLOOKUP(B1040,合并仓明细!$D$2:$F$74,3,0)</f>
        <v>229</v>
      </c>
      <c r="D1040" s="44" t="s">
        <v>414</v>
      </c>
      <c r="E1040" t="s">
        <v>308</v>
      </c>
      <c r="F1040" t="s">
        <v>66</v>
      </c>
      <c r="G1040">
        <v>68.529618110000001</v>
      </c>
      <c r="H1040">
        <v>6.8529618109999996E-2</v>
      </c>
      <c r="K1040" s="1"/>
      <c r="L1040" s="37">
        <f>IF(H1040&gt;30,QUOTIENT(H1040,30)*VLOOKUP(D1040,'报价表-配送'!$B$84:$I$88,8,0),0)+IF(AND(MOD(H1040,30)&gt;18,MOD(H1040,30)&lt;=30),1,0)*VLOOKUP(D1040,'报价表-配送'!$B$84:$I$88,8,0)+IF(AND(MOD(H1040,30)&gt;8,MOD(H1040,30)&lt;=18),1*VLOOKUP(D1040,'报价表-配送'!$B$84:$I$88,7,0),0)+IF(AND(MOD(H1040,30)&lt;=8,MOD(H1040,30)&gt;2.5),1,0)*VLOOKUP(D1040,'报价表-配送'!$B$84:$I$88,6,0)+IF(AND(MOD(H1040,30)&lt;=2.5,MOD(H1040,30)&gt;=1.5),1,0)*VLOOKUP(D1040,'报价表-配送'!$B$84:$I$88,5,0)</f>
        <v>0</v>
      </c>
      <c r="M1040" s="39">
        <f>IF(AND(MOD(H1040,30)&lt;1.5,MOD(H1040,30)&gt;=0.5),H1040,0)*VLOOKUP(D1040,'报价表-配送'!$B$84:$I$88,4,0)*1000+IF(AND(MOD(H1040,30)&lt;0.5,MOD(H1040,30)&gt;=0.02),H1040,0)*VLOOKUP(D1040,'报价表-配送'!$B$84:$I$88,3,0)*1000+IF(AND(MOD(H1040,30)&lt;0.02),H1040,0)*VLOOKUP(D1040,'报价表-配送'!$B$84:$I$88,2,0)*1000</f>
        <v>0</v>
      </c>
      <c r="N1040" s="38">
        <f t="shared" si="15"/>
        <v>0</v>
      </c>
    </row>
    <row r="1041" spans="1:15" x14ac:dyDescent="0.25">
      <c r="A1041" t="s">
        <v>111</v>
      </c>
      <c r="B1041" t="s">
        <v>124</v>
      </c>
      <c r="C1041" s="62">
        <f>VLOOKUP(B1041,合并仓明细!$D$2:$F$74,3,0)</f>
        <v>229</v>
      </c>
      <c r="D1041" s="44" t="s">
        <v>414</v>
      </c>
      <c r="E1041" t="s">
        <v>344</v>
      </c>
      <c r="F1041" t="s">
        <v>66</v>
      </c>
      <c r="G1041">
        <v>74.831099300000005</v>
      </c>
      <c r="H1041">
        <v>7.4831099300000009E-2</v>
      </c>
      <c r="K1041" s="1"/>
      <c r="L1041" s="37">
        <f>IF(H1041&gt;30,QUOTIENT(H1041,30)*VLOOKUP(D1041,'报价表-配送'!$B$84:$I$88,8,0),0)+IF(AND(MOD(H1041,30)&gt;18,MOD(H1041,30)&lt;=30),1,0)*VLOOKUP(D1041,'报价表-配送'!$B$84:$I$88,8,0)+IF(AND(MOD(H1041,30)&gt;8,MOD(H1041,30)&lt;=18),1*VLOOKUP(D1041,'报价表-配送'!$B$84:$I$88,7,0),0)+IF(AND(MOD(H1041,30)&lt;=8,MOD(H1041,30)&gt;2.5),1,0)*VLOOKUP(D1041,'报价表-配送'!$B$84:$I$88,6,0)+IF(AND(MOD(H1041,30)&lt;=2.5,MOD(H1041,30)&gt;=1.5),1,0)*VLOOKUP(D1041,'报价表-配送'!$B$84:$I$88,5,0)</f>
        <v>0</v>
      </c>
      <c r="M1041" s="39">
        <f>IF(AND(MOD(H1041,30)&lt;1.5,MOD(H1041,30)&gt;=0.5),H1041,0)*VLOOKUP(D1041,'报价表-配送'!$B$84:$I$88,4,0)*1000+IF(AND(MOD(H1041,30)&lt;0.5,MOD(H1041,30)&gt;=0.02),H1041,0)*VLOOKUP(D1041,'报价表-配送'!$B$84:$I$88,3,0)*1000+IF(AND(MOD(H1041,30)&lt;0.02),H1041,0)*VLOOKUP(D1041,'报价表-配送'!$B$84:$I$88,2,0)*1000</f>
        <v>0</v>
      </c>
      <c r="N1041" s="38">
        <f t="shared" si="15"/>
        <v>0</v>
      </c>
    </row>
    <row r="1042" spans="1:15" x14ac:dyDescent="0.25">
      <c r="A1042" t="s">
        <v>111</v>
      </c>
      <c r="B1042" t="s">
        <v>124</v>
      </c>
      <c r="C1042" s="62">
        <f>VLOOKUP(B1042,合并仓明细!$D$2:$F$74,3,0)</f>
        <v>229</v>
      </c>
      <c r="D1042" s="44" t="s">
        <v>414</v>
      </c>
      <c r="E1042" t="s">
        <v>265</v>
      </c>
      <c r="F1042" t="s">
        <v>67</v>
      </c>
      <c r="G1042">
        <v>13536.413279999999</v>
      </c>
      <c r="H1042">
        <v>14.42463828</v>
      </c>
      <c r="I1042" s="38">
        <f>IF(H1042&gt;30,QUOTIENT(H1042,30)*VLOOKUP(D1042,'报价表-配送'!$B$84:$I$88,8,0),0)+IF(AND(MOD(H1042,30)&gt;18,MOD(H1042,30)&lt;=30),1,0)*VLOOKUP(D1042,'报价表-配送'!$B$84:$I$88,8,0)</f>
        <v>0</v>
      </c>
      <c r="J1042" s="38">
        <f>IF(AND(MOD(H1042,30)&gt;8,MOD(H1042,30)&lt;=18),1*VLOOKUP(D1042,'报价表-配送'!$B$84:$I$88,7,0),0)</f>
        <v>0</v>
      </c>
      <c r="K1042" s="38">
        <f>IF(AND(MOD(H1042,30)&lt;=8,MOD(H1042,30)&gt;0),1,0)*VLOOKUP(D1042,'报价表-配送'!$B$84:$I$88,6,0)</f>
        <v>0</v>
      </c>
      <c r="L1042" s="37"/>
      <c r="M1042" s="39"/>
      <c r="N1042" s="38">
        <f t="shared" si="15"/>
        <v>0</v>
      </c>
    </row>
    <row r="1043" spans="1:15" x14ac:dyDescent="0.25">
      <c r="A1043" t="s">
        <v>111</v>
      </c>
      <c r="B1043" t="s">
        <v>124</v>
      </c>
      <c r="C1043" s="62">
        <f>VLOOKUP(B1043,合并仓明细!$D$2:$F$74,3,0)</f>
        <v>229</v>
      </c>
      <c r="D1043" s="44" t="s">
        <v>414</v>
      </c>
      <c r="E1043" t="s">
        <v>265</v>
      </c>
      <c r="F1043" t="s">
        <v>66</v>
      </c>
      <c r="G1043">
        <v>888.22499999999991</v>
      </c>
      <c r="H1043"/>
      <c r="K1043" s="1"/>
      <c r="L1043" s="37"/>
      <c r="M1043" s="39"/>
      <c r="N1043" s="38">
        <f t="shared" si="15"/>
        <v>0</v>
      </c>
    </row>
    <row r="1044" spans="1:15" x14ac:dyDescent="0.25">
      <c r="A1044" t="s">
        <v>111</v>
      </c>
      <c r="B1044" t="s">
        <v>124</v>
      </c>
      <c r="C1044" s="62">
        <f>VLOOKUP(B1044,合并仓明细!$D$2:$F$74,3,0)</f>
        <v>229</v>
      </c>
      <c r="D1044" s="44" t="s">
        <v>414</v>
      </c>
      <c r="E1044" t="s">
        <v>266</v>
      </c>
      <c r="F1044" t="s">
        <v>66</v>
      </c>
      <c r="G1044">
        <v>88.685000000000002</v>
      </c>
      <c r="H1044">
        <v>8.8685E-2</v>
      </c>
      <c r="K1044" s="1"/>
      <c r="L1044" s="37">
        <f>IF(H1044&gt;30,QUOTIENT(H1044,30)*VLOOKUP(D1044,'报价表-配送'!$B$84:$I$88,8,0),0)+IF(AND(MOD(H1044,30)&gt;18,MOD(H1044,30)&lt;=30),1,0)*VLOOKUP(D1044,'报价表-配送'!$B$84:$I$88,8,0)+IF(AND(MOD(H1044,30)&gt;8,MOD(H1044,30)&lt;=18),1*VLOOKUP(D1044,'报价表-配送'!$B$84:$I$88,7,0),0)+IF(AND(MOD(H1044,30)&lt;=8,MOD(H1044,30)&gt;2.5),1,0)*VLOOKUP(D1044,'报价表-配送'!$B$84:$I$88,6,0)+IF(AND(MOD(H1044,30)&lt;=2.5,MOD(H1044,30)&gt;=1.5),1,0)*VLOOKUP(D1044,'报价表-配送'!$B$84:$I$88,5,0)</f>
        <v>0</v>
      </c>
      <c r="M1044" s="39">
        <f>IF(AND(MOD(H1044,30)&lt;1.5,MOD(H1044,30)&gt;=0.5),H1044,0)*VLOOKUP(D1044,'报价表-配送'!$B$84:$I$88,4,0)*1000+IF(AND(MOD(H1044,30)&lt;0.5,MOD(H1044,30)&gt;=0.02),H1044,0)*VLOOKUP(D1044,'报价表-配送'!$B$84:$I$88,3,0)*1000+IF(AND(MOD(H1044,30)&lt;0.02),H1044,0)*VLOOKUP(D1044,'报价表-配送'!$B$84:$I$88,2,0)*1000</f>
        <v>0</v>
      </c>
      <c r="N1044" s="38">
        <f t="shared" si="15"/>
        <v>0</v>
      </c>
    </row>
    <row r="1045" spans="1:15" x14ac:dyDescent="0.25">
      <c r="A1045" t="s">
        <v>111</v>
      </c>
      <c r="B1045" t="s">
        <v>124</v>
      </c>
      <c r="C1045" s="62">
        <f>VLOOKUP(B1045,合并仓明细!$D$2:$F$74,3,0)</f>
        <v>229</v>
      </c>
      <c r="D1045" s="44" t="s">
        <v>414</v>
      </c>
      <c r="E1045" t="s">
        <v>268</v>
      </c>
      <c r="F1045" t="s">
        <v>68</v>
      </c>
      <c r="G1045">
        <v>3378.1769999999997</v>
      </c>
      <c r="H1045">
        <v>5.44728249994</v>
      </c>
      <c r="I1045" s="46">
        <f>ROUNDUP(H1045/30,0)*VLOOKUP(D1045,'报价表-配送'!$B$84:$I$88,8,0)</f>
        <v>0</v>
      </c>
      <c r="K1045" s="1"/>
      <c r="L1045" s="37"/>
      <c r="M1045" s="39"/>
      <c r="N1045" s="38">
        <f t="shared" si="15"/>
        <v>0</v>
      </c>
    </row>
    <row r="1046" spans="1:15" x14ac:dyDescent="0.25">
      <c r="A1046" s="56" t="s">
        <v>111</v>
      </c>
      <c r="B1046" s="50" t="s">
        <v>124</v>
      </c>
      <c r="C1046" s="62">
        <f>VLOOKUP(B1046,合并仓明细!$D$2:$F$74,3,0)</f>
        <v>229</v>
      </c>
      <c r="D1046" s="44" t="s">
        <v>414</v>
      </c>
      <c r="E1046" s="41" t="s">
        <v>268</v>
      </c>
      <c r="F1046" s="40" t="s">
        <v>67</v>
      </c>
      <c r="G1046" s="37">
        <v>1881.1812</v>
      </c>
      <c r="H1046" s="37"/>
      <c r="I1046" s="38"/>
      <c r="J1046" s="38"/>
      <c r="K1046" s="38"/>
      <c r="L1046" s="37"/>
      <c r="M1046" s="37"/>
      <c r="N1046" s="38">
        <f t="shared" si="15"/>
        <v>0</v>
      </c>
      <c r="O1046" s="37"/>
    </row>
    <row r="1047" spans="1:15" x14ac:dyDescent="0.25">
      <c r="A1047" s="56" t="s">
        <v>111</v>
      </c>
      <c r="B1047" s="50" t="s">
        <v>124</v>
      </c>
      <c r="C1047" s="62">
        <f>VLOOKUP(B1047,合并仓明细!$D$2:$F$74,3,0)</f>
        <v>229</v>
      </c>
      <c r="D1047" s="44" t="s">
        <v>414</v>
      </c>
      <c r="E1047" s="41" t="s">
        <v>268</v>
      </c>
      <c r="F1047" s="40" t="s">
        <v>66</v>
      </c>
      <c r="G1047" s="37">
        <v>187.92429993999997</v>
      </c>
      <c r="H1047" s="37"/>
      <c r="I1047" s="38"/>
      <c r="J1047" s="38"/>
      <c r="K1047" s="38"/>
      <c r="L1047" s="37"/>
      <c r="M1047" s="37"/>
      <c r="N1047" s="38">
        <f t="shared" si="15"/>
        <v>0</v>
      </c>
      <c r="O1047" s="37"/>
    </row>
    <row r="1048" spans="1:15" x14ac:dyDescent="0.25">
      <c r="A1048" s="56" t="s">
        <v>111</v>
      </c>
      <c r="B1048" s="50" t="s">
        <v>124</v>
      </c>
      <c r="C1048" s="62">
        <f>VLOOKUP(B1048,合并仓明细!$D$2:$F$74,3,0)</f>
        <v>229</v>
      </c>
      <c r="D1048" s="44" t="s">
        <v>414</v>
      </c>
      <c r="E1048" s="41" t="s">
        <v>270</v>
      </c>
      <c r="F1048" s="40" t="s">
        <v>67</v>
      </c>
      <c r="G1048" s="37">
        <v>3359.0203260000003</v>
      </c>
      <c r="H1048" s="38">
        <v>3.5412059926700001</v>
      </c>
      <c r="I1048" s="38">
        <f>IF(H1048&gt;30,QUOTIENT(H1048,30)*VLOOKUP(D1048,'报价表-配送'!$B$84:$I$88,8,0),0)+IF(AND(MOD(H1048,30)&gt;18,MOD(H1048,30)&lt;=30),1,0)*VLOOKUP(D1048,'报价表-配送'!$B$84:$I$88,8,0)</f>
        <v>0</v>
      </c>
      <c r="J1048" s="38">
        <f>IF(AND(MOD(H1048,30)&gt;8,MOD(H1048,30)&lt;=18),1*VLOOKUP(D1048,'报价表-配送'!$B$84:$I$88,7,0),0)</f>
        <v>0</v>
      </c>
      <c r="K1048" s="38">
        <f>IF(AND(MOD(H1048,30)&lt;=8,MOD(H1048,30)&gt;0),1,0)*VLOOKUP(D1048,'报价表-配送'!$B$84:$I$88,6,0)</f>
        <v>0</v>
      </c>
      <c r="L1048" s="37"/>
      <c r="M1048" s="39"/>
      <c r="N1048" s="38">
        <f t="shared" ref="N1048:N1113" si="16">SUM(I1048:M1048)</f>
        <v>0</v>
      </c>
      <c r="O1048" s="37"/>
    </row>
    <row r="1049" spans="1:15" x14ac:dyDescent="0.25">
      <c r="A1049" s="56" t="s">
        <v>111</v>
      </c>
      <c r="B1049" s="50" t="s">
        <v>124</v>
      </c>
      <c r="C1049" s="62">
        <f>VLOOKUP(B1049,合并仓明细!$D$2:$F$74,3,0)</f>
        <v>229</v>
      </c>
      <c r="D1049" s="44" t="s">
        <v>414</v>
      </c>
      <c r="E1049" s="41" t="s">
        <v>270</v>
      </c>
      <c r="F1049" s="40" t="s">
        <v>66</v>
      </c>
      <c r="G1049" s="37">
        <v>182.18566667000002</v>
      </c>
      <c r="H1049" s="38"/>
      <c r="I1049" s="37"/>
      <c r="J1049" s="37"/>
      <c r="K1049" s="37"/>
      <c r="L1049" s="37"/>
      <c r="M1049" s="39"/>
      <c r="N1049" s="38">
        <f t="shared" si="16"/>
        <v>0</v>
      </c>
      <c r="O1049" s="37"/>
    </row>
    <row r="1050" spans="1:15" x14ac:dyDescent="0.25">
      <c r="A1050" s="56" t="s">
        <v>111</v>
      </c>
      <c r="B1050" s="50" t="s">
        <v>124</v>
      </c>
      <c r="C1050" s="62">
        <f>VLOOKUP(B1050,合并仓明细!$D$2:$F$74,3,0)</f>
        <v>229</v>
      </c>
      <c r="D1050" s="44" t="s">
        <v>414</v>
      </c>
      <c r="E1050" s="41" t="s">
        <v>273</v>
      </c>
      <c r="F1050" s="40" t="s">
        <v>68</v>
      </c>
      <c r="G1050" s="37">
        <v>2958.7919999999999</v>
      </c>
      <c r="H1050" s="38">
        <v>5.9495862332999998</v>
      </c>
      <c r="I1050" s="46">
        <f>ROUNDUP(H1050/30,0)*VLOOKUP(D1050,'报价表-配送'!$B$84:$I$88,8,0)</f>
        <v>0</v>
      </c>
      <c r="J1050" s="37"/>
      <c r="K1050" s="37"/>
      <c r="L1050" s="37"/>
      <c r="M1050" s="39"/>
      <c r="N1050" s="38">
        <f t="shared" si="16"/>
        <v>0</v>
      </c>
      <c r="O1050" s="37"/>
    </row>
    <row r="1051" spans="1:15" x14ac:dyDescent="0.25">
      <c r="A1051" s="56" t="s">
        <v>111</v>
      </c>
      <c r="B1051" s="50" t="s">
        <v>124</v>
      </c>
      <c r="C1051" s="62">
        <f>VLOOKUP(B1051,合并仓明细!$D$2:$F$74,3,0)</f>
        <v>229</v>
      </c>
      <c r="D1051" s="44" t="s">
        <v>414</v>
      </c>
      <c r="E1051" s="41" t="s">
        <v>273</v>
      </c>
      <c r="F1051" s="40" t="s">
        <v>67</v>
      </c>
      <c r="G1051" s="37">
        <v>2932.0333999999998</v>
      </c>
      <c r="H1051" s="38"/>
      <c r="I1051" s="37"/>
      <c r="J1051" s="37"/>
      <c r="K1051" s="37"/>
      <c r="L1051" s="37"/>
      <c r="M1051" s="39"/>
      <c r="N1051" s="38">
        <f t="shared" si="16"/>
        <v>0</v>
      </c>
      <c r="O1051" s="37"/>
    </row>
    <row r="1052" spans="1:15" x14ac:dyDescent="0.25">
      <c r="A1052" t="s">
        <v>111</v>
      </c>
      <c r="B1052" s="44" t="s">
        <v>124</v>
      </c>
      <c r="C1052" s="62">
        <f>VLOOKUP(B1052,合并仓明细!$D$2:$F$74,3,0)</f>
        <v>229</v>
      </c>
      <c r="D1052" s="44" t="s">
        <v>414</v>
      </c>
      <c r="E1052" s="43" t="s">
        <v>273</v>
      </c>
      <c r="F1052" t="s">
        <v>66</v>
      </c>
      <c r="G1052" s="42">
        <v>58.760833299999994</v>
      </c>
      <c r="H1052"/>
      <c r="I1052" s="46"/>
      <c r="J1052" s="61"/>
      <c r="K1052" s="61"/>
      <c r="L1052" s="60"/>
      <c r="M1052" s="60"/>
      <c r="N1052" s="38">
        <f t="shared" si="16"/>
        <v>0</v>
      </c>
    </row>
    <row r="1053" spans="1:15" x14ac:dyDescent="0.25">
      <c r="A1053" t="s">
        <v>111</v>
      </c>
      <c r="B1053" s="43" t="s">
        <v>124</v>
      </c>
      <c r="C1053" s="62">
        <f>VLOOKUP(B1053,合并仓明细!$D$2:$F$74,3,0)</f>
        <v>229</v>
      </c>
      <c r="D1053" s="44" t="s">
        <v>414</v>
      </c>
      <c r="E1053" s="43" t="s">
        <v>346</v>
      </c>
      <c r="F1053" t="s">
        <v>67</v>
      </c>
      <c r="G1053" s="42">
        <v>29592.613464000002</v>
      </c>
      <c r="H1053">
        <v>31.733931464000001</v>
      </c>
      <c r="I1053" s="38">
        <f>IF(H1053&gt;30,QUOTIENT(H1053,30)*VLOOKUP(D1053,'报价表-配送'!$B$84:$I$88,8,0),0)+IF(AND(MOD(H1053,30)&gt;18,MOD(H1053,30)&lt;=30),1,0)*VLOOKUP(D1053,'报价表-配送'!$B$84:$I$88,8,0)</f>
        <v>0</v>
      </c>
      <c r="J1053" s="38">
        <f>IF(AND(MOD(H1053,30)&gt;8,MOD(H1053,30)&lt;=18),1*VLOOKUP(D1053,'报价表-配送'!$B$84:$I$88,7,0),0)</f>
        <v>0</v>
      </c>
      <c r="K1053" s="38">
        <f>IF(AND(MOD(H1053,30)&lt;=8,MOD(H1053,30)&gt;0),1,0)*VLOOKUP(D1053,'报价表-配送'!$B$84:$I$88,6,0)</f>
        <v>0</v>
      </c>
      <c r="L1053" s="33"/>
      <c r="M1053" s="1"/>
      <c r="N1053" s="38">
        <f t="shared" si="16"/>
        <v>0</v>
      </c>
    </row>
    <row r="1054" spans="1:15" x14ac:dyDescent="0.25">
      <c r="A1054" t="s">
        <v>111</v>
      </c>
      <c r="B1054" s="43" t="s">
        <v>124</v>
      </c>
      <c r="C1054" s="62">
        <f>VLOOKUP(B1054,合并仓明细!$D$2:$F$74,3,0)</f>
        <v>229</v>
      </c>
      <c r="D1054" s="44" t="s">
        <v>414</v>
      </c>
      <c r="E1054" s="43" t="s">
        <v>346</v>
      </c>
      <c r="F1054" t="s">
        <v>66</v>
      </c>
      <c r="G1054" s="42">
        <v>2141.3179999999993</v>
      </c>
      <c r="H1054"/>
      <c r="K1054" s="1"/>
      <c r="L1054" s="33"/>
      <c r="M1054" s="1"/>
      <c r="N1054" s="38">
        <f t="shared" si="16"/>
        <v>0</v>
      </c>
    </row>
    <row r="1055" spans="1:15" x14ac:dyDescent="0.25">
      <c r="A1055" t="s">
        <v>111</v>
      </c>
      <c r="B1055" s="43" t="s">
        <v>124</v>
      </c>
      <c r="C1055" s="62">
        <f>VLOOKUP(B1055,合并仓明细!$D$2:$F$74,3,0)</f>
        <v>229</v>
      </c>
      <c r="D1055" s="44" t="s">
        <v>414</v>
      </c>
      <c r="E1055" s="43" t="s">
        <v>277</v>
      </c>
      <c r="F1055" t="s">
        <v>68</v>
      </c>
      <c r="G1055" s="42">
        <v>576.21420000000001</v>
      </c>
      <c r="H1055">
        <v>5.0729815500000006</v>
      </c>
      <c r="I1055" s="46">
        <f>ROUNDUP(H1055/30,0)*VLOOKUP(D1055,'报价表-配送'!$B$84:$I$88,8,0)</f>
        <v>0</v>
      </c>
      <c r="J1055" s="61"/>
      <c r="K1055" s="61"/>
      <c r="L1055" s="60"/>
      <c r="M1055" s="60"/>
      <c r="N1055" s="38">
        <f t="shared" si="16"/>
        <v>0</v>
      </c>
    </row>
    <row r="1056" spans="1:15" x14ac:dyDescent="0.25">
      <c r="A1056" t="s">
        <v>111</v>
      </c>
      <c r="B1056" s="43" t="s">
        <v>124</v>
      </c>
      <c r="C1056" s="62">
        <f>VLOOKUP(B1056,合并仓明细!$D$2:$F$74,3,0)</f>
        <v>229</v>
      </c>
      <c r="D1056" s="44" t="s">
        <v>414</v>
      </c>
      <c r="E1056" s="43" t="s">
        <v>277</v>
      </c>
      <c r="F1056" t="s">
        <v>67</v>
      </c>
      <c r="G1056" s="42">
        <v>3656.2146000000002</v>
      </c>
      <c r="H1056"/>
      <c r="K1056" s="1"/>
      <c r="L1056" s="33"/>
      <c r="M1056" s="1"/>
      <c r="N1056" s="38">
        <f t="shared" si="16"/>
        <v>0</v>
      </c>
    </row>
    <row r="1057" spans="1:14" x14ac:dyDescent="0.25">
      <c r="A1057" t="s">
        <v>111</v>
      </c>
      <c r="B1057" s="43" t="s">
        <v>124</v>
      </c>
      <c r="C1057" s="62">
        <f>VLOOKUP(B1057,合并仓明细!$D$2:$F$74,3,0)</f>
        <v>229</v>
      </c>
      <c r="D1057" s="44" t="s">
        <v>414</v>
      </c>
      <c r="E1057" s="43" t="s">
        <v>277</v>
      </c>
      <c r="F1057" t="s">
        <v>66</v>
      </c>
      <c r="G1057" s="42">
        <v>840.55274999999995</v>
      </c>
      <c r="H1057"/>
      <c r="K1057" s="1"/>
      <c r="L1057" s="33"/>
      <c r="M1057" s="1"/>
      <c r="N1057" s="38">
        <f t="shared" si="16"/>
        <v>0</v>
      </c>
    </row>
    <row r="1058" spans="1:14" x14ac:dyDescent="0.25">
      <c r="A1058" t="s">
        <v>111</v>
      </c>
      <c r="B1058" s="43" t="s">
        <v>124</v>
      </c>
      <c r="C1058" s="62">
        <f>VLOOKUP(B1058,合并仓明细!$D$2:$F$74,3,0)</f>
        <v>229</v>
      </c>
      <c r="D1058" s="44" t="s">
        <v>414</v>
      </c>
      <c r="E1058" s="43" t="s">
        <v>347</v>
      </c>
      <c r="F1058" t="s">
        <v>67</v>
      </c>
      <c r="G1058" s="42">
        <v>8616.3123839999989</v>
      </c>
      <c r="H1058">
        <v>10.380745217499999</v>
      </c>
      <c r="I1058" s="38">
        <f>IF(H1058&gt;30,QUOTIENT(H1058,30)*VLOOKUP(D1058,'报价表-配送'!$B$84:$I$88,8,0),0)+IF(AND(MOD(H1058,30)&gt;18,MOD(H1058,30)&lt;=30),1,0)*VLOOKUP(D1058,'报价表-配送'!$B$84:$I$88,8,0)</f>
        <v>0</v>
      </c>
      <c r="J1058" s="38">
        <f>IF(AND(MOD(H1058,30)&gt;8,MOD(H1058,30)&lt;=18),1*VLOOKUP(D1058,'报价表-配送'!$B$84:$I$88,7,0),0)</f>
        <v>0</v>
      </c>
      <c r="K1058" s="38">
        <f>IF(AND(MOD(H1058,30)&lt;=8,MOD(H1058,30)&gt;0),1,0)*VLOOKUP(D1058,'报价表-配送'!$B$84:$I$88,6,0)</f>
        <v>0</v>
      </c>
      <c r="L1058" s="60"/>
      <c r="M1058" s="60"/>
      <c r="N1058" s="38">
        <f t="shared" si="16"/>
        <v>0</v>
      </c>
    </row>
    <row r="1059" spans="1:14" x14ac:dyDescent="0.25">
      <c r="A1059" t="s">
        <v>111</v>
      </c>
      <c r="B1059" s="43" t="s">
        <v>124</v>
      </c>
      <c r="C1059" s="62">
        <f>VLOOKUP(B1059,合并仓明细!$D$2:$F$74,3,0)</f>
        <v>229</v>
      </c>
      <c r="D1059" s="44" t="s">
        <v>414</v>
      </c>
      <c r="E1059" s="43" t="s">
        <v>347</v>
      </c>
      <c r="F1059" t="s">
        <v>66</v>
      </c>
      <c r="G1059" s="42">
        <v>1764.4328335</v>
      </c>
      <c r="H1059"/>
      <c r="K1059" s="1"/>
      <c r="L1059" s="33"/>
      <c r="M1059" s="1"/>
      <c r="N1059" s="38">
        <f t="shared" si="16"/>
        <v>0</v>
      </c>
    </row>
    <row r="1060" spans="1:14" x14ac:dyDescent="0.25">
      <c r="A1060" t="s">
        <v>111</v>
      </c>
      <c r="B1060" s="43" t="s">
        <v>124</v>
      </c>
      <c r="C1060" s="62">
        <f>VLOOKUP(B1060,合并仓明细!$D$2:$F$74,3,0)</f>
        <v>229</v>
      </c>
      <c r="D1060" s="44" t="s">
        <v>414</v>
      </c>
      <c r="E1060" s="43" t="s">
        <v>312</v>
      </c>
      <c r="F1060" t="s">
        <v>67</v>
      </c>
      <c r="G1060" s="42">
        <v>8481.3382559999991</v>
      </c>
      <c r="H1060">
        <v>9.4854932559999998</v>
      </c>
      <c r="I1060" s="38">
        <f>IF(H1060&gt;30,QUOTIENT(H1060,30)*VLOOKUP(D1060,'报价表-配送'!$B$84:$I$88,8,0),0)+IF(AND(MOD(H1060,30)&gt;18,MOD(H1060,30)&lt;=30),1,0)*VLOOKUP(D1060,'报价表-配送'!$B$84:$I$88,8,0)</f>
        <v>0</v>
      </c>
      <c r="J1060" s="38">
        <f>IF(AND(MOD(H1060,30)&gt;8,MOD(H1060,30)&lt;=18),1*VLOOKUP(D1060,'报价表-配送'!$B$84:$I$88,7,0),0)</f>
        <v>0</v>
      </c>
      <c r="K1060" s="38">
        <f>IF(AND(MOD(H1060,30)&lt;=8,MOD(H1060,30)&gt;0),1,0)*VLOOKUP(D1060,'报价表-配送'!$B$84:$I$88,6,0)</f>
        <v>0</v>
      </c>
      <c r="L1060" s="33"/>
      <c r="M1060" s="1"/>
      <c r="N1060" s="38">
        <f t="shared" si="16"/>
        <v>0</v>
      </c>
    </row>
    <row r="1061" spans="1:14" x14ac:dyDescent="0.25">
      <c r="A1061" t="s">
        <v>111</v>
      </c>
      <c r="B1061" s="43" t="s">
        <v>124</v>
      </c>
      <c r="C1061" s="62">
        <f>VLOOKUP(B1061,合并仓明细!$D$2:$F$74,3,0)</f>
        <v>229</v>
      </c>
      <c r="D1061" s="44" t="s">
        <v>414</v>
      </c>
      <c r="E1061" s="43" t="s">
        <v>312</v>
      </c>
      <c r="F1061" t="s">
        <v>66</v>
      </c>
      <c r="G1061" s="42">
        <v>1004.155</v>
      </c>
      <c r="H1061"/>
      <c r="I1061" s="46"/>
      <c r="J1061" s="61"/>
      <c r="K1061" s="61"/>
      <c r="L1061" s="60"/>
      <c r="M1061" s="60"/>
      <c r="N1061" s="38">
        <f t="shared" si="16"/>
        <v>0</v>
      </c>
    </row>
    <row r="1062" spans="1:14" x14ac:dyDescent="0.25">
      <c r="A1062" t="s">
        <v>111</v>
      </c>
      <c r="B1062" s="43" t="s">
        <v>124</v>
      </c>
      <c r="C1062" s="62">
        <f>VLOOKUP(B1062,合并仓明细!$D$2:$F$74,3,0)</f>
        <v>229</v>
      </c>
      <c r="D1062" s="44" t="s">
        <v>414</v>
      </c>
      <c r="E1062" s="43" t="s">
        <v>284</v>
      </c>
      <c r="F1062" t="s">
        <v>67</v>
      </c>
      <c r="G1062" s="42">
        <v>14892.224907599999</v>
      </c>
      <c r="H1062">
        <v>17.36999484096</v>
      </c>
      <c r="I1062" s="38">
        <f>IF(H1062&gt;30,QUOTIENT(H1062,30)*VLOOKUP(D1062,'报价表-配送'!$B$84:$I$88,8,0),0)+IF(AND(MOD(H1062,30)&gt;18,MOD(H1062,30)&lt;=30),1,0)*VLOOKUP(D1062,'报价表-配送'!$B$84:$I$88,8,0)</f>
        <v>0</v>
      </c>
      <c r="J1062" s="38">
        <f>IF(AND(MOD(H1062,30)&gt;8,MOD(H1062,30)&lt;=18),1*VLOOKUP(D1062,'报价表-配送'!$B$84:$I$88,7,0),0)</f>
        <v>0</v>
      </c>
      <c r="K1062" s="38">
        <f>IF(AND(MOD(H1062,30)&lt;=8,MOD(H1062,30)&gt;0),1,0)*VLOOKUP(D1062,'报价表-配送'!$B$84:$I$88,6,0)</f>
        <v>0</v>
      </c>
      <c r="L1062" s="33"/>
      <c r="M1062" s="1"/>
      <c r="N1062" s="38">
        <f t="shared" si="16"/>
        <v>0</v>
      </c>
    </row>
    <row r="1063" spans="1:14" x14ac:dyDescent="0.25">
      <c r="A1063" t="s">
        <v>111</v>
      </c>
      <c r="B1063" s="43" t="s">
        <v>124</v>
      </c>
      <c r="C1063" s="62">
        <f>VLOOKUP(B1063,合并仓明细!$D$2:$F$74,3,0)</f>
        <v>229</v>
      </c>
      <c r="D1063" s="44" t="s">
        <v>414</v>
      </c>
      <c r="E1063" s="43" t="s">
        <v>284</v>
      </c>
      <c r="F1063" t="s">
        <v>66</v>
      </c>
      <c r="G1063" s="42">
        <v>2477.7699333600003</v>
      </c>
      <c r="H1063"/>
      <c r="K1063" s="1"/>
      <c r="L1063" s="33"/>
      <c r="M1063" s="1"/>
      <c r="N1063" s="38">
        <f t="shared" si="16"/>
        <v>0</v>
      </c>
    </row>
    <row r="1064" spans="1:14" x14ac:dyDescent="0.25">
      <c r="A1064" t="s">
        <v>111</v>
      </c>
      <c r="B1064" s="43" t="s">
        <v>124</v>
      </c>
      <c r="C1064" s="62">
        <f>VLOOKUP(B1064,合并仓明细!$D$2:$F$74,3,0)</f>
        <v>229</v>
      </c>
      <c r="D1064" s="44" t="s">
        <v>414</v>
      </c>
      <c r="E1064" s="43" t="s">
        <v>329</v>
      </c>
      <c r="F1064" t="s">
        <v>67</v>
      </c>
      <c r="G1064" s="42">
        <v>15127.980599999999</v>
      </c>
      <c r="H1064">
        <v>15.485183599999999</v>
      </c>
      <c r="I1064" s="38">
        <f>IF(H1064&gt;30,QUOTIENT(H1064,30)*VLOOKUP(D1064,'报价表-配送'!$B$84:$I$88,8,0),0)+IF(AND(MOD(H1064,30)&gt;18,MOD(H1064,30)&lt;=30),1,0)*VLOOKUP(D1064,'报价表-配送'!$B$84:$I$88,8,0)</f>
        <v>0</v>
      </c>
      <c r="J1064" s="38">
        <f>IF(AND(MOD(H1064,30)&gt;8,MOD(H1064,30)&lt;=18),1*VLOOKUP(D1064,'报价表-配送'!$B$84:$I$88,7,0),0)</f>
        <v>0</v>
      </c>
      <c r="K1064" s="38">
        <f>IF(AND(MOD(H1064,30)&lt;=8,MOD(H1064,30)&gt;0),1,0)*VLOOKUP(D1064,'报价表-配送'!$B$84:$I$88,6,0)</f>
        <v>0</v>
      </c>
      <c r="L1064" s="60"/>
      <c r="M1064" s="60"/>
      <c r="N1064" s="38">
        <f t="shared" si="16"/>
        <v>0</v>
      </c>
    </row>
    <row r="1065" spans="1:14" x14ac:dyDescent="0.25">
      <c r="A1065" t="s">
        <v>111</v>
      </c>
      <c r="B1065" s="43" t="s">
        <v>124</v>
      </c>
      <c r="C1065" s="62">
        <f>VLOOKUP(B1065,合并仓明细!$D$2:$F$74,3,0)</f>
        <v>229</v>
      </c>
      <c r="D1065" s="44" t="s">
        <v>414</v>
      </c>
      <c r="E1065" s="43" t="s">
        <v>329</v>
      </c>
      <c r="F1065" t="s">
        <v>66</v>
      </c>
      <c r="G1065" s="42">
        <v>357.20300000000003</v>
      </c>
      <c r="H1065"/>
      <c r="K1065" s="1"/>
      <c r="L1065" s="33"/>
      <c r="M1065" s="1"/>
      <c r="N1065" s="38">
        <f t="shared" si="16"/>
        <v>0</v>
      </c>
    </row>
    <row r="1066" spans="1:14" x14ac:dyDescent="0.25">
      <c r="A1066" t="s">
        <v>111</v>
      </c>
      <c r="B1066" s="43" t="s">
        <v>124</v>
      </c>
      <c r="C1066" s="62">
        <f>VLOOKUP(B1066,合并仓明细!$D$2:$F$74,3,0)</f>
        <v>229</v>
      </c>
      <c r="D1066" s="44" t="s">
        <v>414</v>
      </c>
      <c r="E1066" s="43" t="s">
        <v>286</v>
      </c>
      <c r="F1066" t="s">
        <v>67</v>
      </c>
      <c r="G1066" s="42">
        <v>8060.966699999999</v>
      </c>
      <c r="H1066">
        <v>8.8696695573</v>
      </c>
      <c r="I1066" s="38">
        <f>IF(H1066&gt;30,QUOTIENT(H1066,30)*VLOOKUP(D1066,'报价表-配送'!$B$84:$I$88,8,0),0)+IF(AND(MOD(H1066,30)&gt;18,MOD(H1066,30)&lt;=30),1,0)*VLOOKUP(D1066,'报价表-配送'!$B$84:$I$88,8,0)</f>
        <v>0</v>
      </c>
      <c r="J1066" s="38">
        <f>IF(AND(MOD(H1066,30)&gt;8,MOD(H1066,30)&lt;=18),1*VLOOKUP(D1066,'报价表-配送'!$B$84:$I$88,7,0),0)</f>
        <v>0</v>
      </c>
      <c r="K1066" s="38">
        <f>IF(AND(MOD(H1066,30)&lt;=8,MOD(H1066,30)&gt;0),1,0)*VLOOKUP(D1066,'报价表-配送'!$B$84:$I$88,6,0)</f>
        <v>0</v>
      </c>
      <c r="L1066" s="33"/>
      <c r="M1066" s="1"/>
      <c r="N1066" s="38">
        <f t="shared" si="16"/>
        <v>0</v>
      </c>
    </row>
    <row r="1067" spans="1:14" x14ac:dyDescent="0.25">
      <c r="A1067" t="s">
        <v>111</v>
      </c>
      <c r="B1067" s="43" t="s">
        <v>124</v>
      </c>
      <c r="C1067" s="62">
        <f>VLOOKUP(B1067,合并仓明细!$D$2:$F$74,3,0)</f>
        <v>229</v>
      </c>
      <c r="D1067" s="44" t="s">
        <v>414</v>
      </c>
      <c r="E1067" s="43" t="s">
        <v>286</v>
      </c>
      <c r="F1067" t="s">
        <v>66</v>
      </c>
      <c r="G1067" s="42">
        <v>808.70285729999989</v>
      </c>
      <c r="H1067"/>
      <c r="I1067" s="38"/>
      <c r="J1067" s="38"/>
      <c r="K1067" s="38"/>
      <c r="L1067" s="37"/>
      <c r="M1067" s="37"/>
      <c r="N1067" s="38">
        <f t="shared" si="16"/>
        <v>0</v>
      </c>
    </row>
    <row r="1068" spans="1:14" x14ac:dyDescent="0.25">
      <c r="A1068" t="s">
        <v>111</v>
      </c>
      <c r="B1068" s="43" t="s">
        <v>124</v>
      </c>
      <c r="C1068" s="62">
        <f>VLOOKUP(B1068,合并仓明细!$D$2:$F$74,3,0)</f>
        <v>229</v>
      </c>
      <c r="D1068" s="44" t="s">
        <v>414</v>
      </c>
      <c r="E1068" s="43" t="s">
        <v>247</v>
      </c>
      <c r="F1068" t="s">
        <v>67</v>
      </c>
      <c r="G1068" s="42">
        <v>8942.0622000000003</v>
      </c>
      <c r="H1068">
        <v>9.079437200000001</v>
      </c>
      <c r="I1068" s="38">
        <f>IF(H1068&gt;30,QUOTIENT(H1068,30)*VLOOKUP(D1068,'报价表-配送'!$B$84:$I$88,8,0),0)+IF(AND(MOD(H1068,30)&gt;18,MOD(H1068,30)&lt;=30),1,0)*VLOOKUP(D1068,'报价表-配送'!$B$84:$I$88,8,0)</f>
        <v>0</v>
      </c>
      <c r="J1068" s="38">
        <f>IF(AND(MOD(H1068,30)&gt;8,MOD(H1068,30)&lt;=18),1*VLOOKUP(D1068,'报价表-配送'!$B$84:$I$88,7,0),0)</f>
        <v>0</v>
      </c>
      <c r="K1068" s="38">
        <f>IF(AND(MOD(H1068,30)&lt;=8,MOD(H1068,30)&gt;0),1,0)*VLOOKUP(D1068,'报价表-配送'!$B$84:$I$88,6,0)</f>
        <v>0</v>
      </c>
      <c r="L1068" s="33"/>
      <c r="M1068" s="1"/>
      <c r="N1068" s="38">
        <f t="shared" si="16"/>
        <v>0</v>
      </c>
    </row>
    <row r="1069" spans="1:14" x14ac:dyDescent="0.25">
      <c r="A1069" t="s">
        <v>111</v>
      </c>
      <c r="B1069" s="43" t="s">
        <v>124</v>
      </c>
      <c r="C1069" s="62">
        <f>VLOOKUP(B1069,合并仓明细!$D$2:$F$74,3,0)</f>
        <v>229</v>
      </c>
      <c r="D1069" s="44" t="s">
        <v>414</v>
      </c>
      <c r="E1069" s="43" t="s">
        <v>247</v>
      </c>
      <c r="F1069" t="s">
        <v>66</v>
      </c>
      <c r="G1069" s="42">
        <v>137.375</v>
      </c>
      <c r="H1069"/>
      <c r="I1069" s="46"/>
      <c r="J1069" s="61"/>
      <c r="K1069" s="61"/>
      <c r="L1069" s="60"/>
      <c r="M1069" s="60"/>
      <c r="N1069" s="38">
        <f t="shared" si="16"/>
        <v>0</v>
      </c>
    </row>
    <row r="1070" spans="1:14" x14ac:dyDescent="0.25">
      <c r="A1070" t="s">
        <v>111</v>
      </c>
      <c r="B1070" s="43" t="s">
        <v>124</v>
      </c>
      <c r="C1070" s="62">
        <f>VLOOKUP(B1070,合并仓明细!$D$2:$F$74,3,0)</f>
        <v>229</v>
      </c>
      <c r="D1070" s="44" t="s">
        <v>414</v>
      </c>
      <c r="E1070" s="43" t="s">
        <v>290</v>
      </c>
      <c r="F1070" t="s">
        <v>67</v>
      </c>
      <c r="G1070" s="42">
        <v>4386.6738000000005</v>
      </c>
      <c r="H1070">
        <v>5.7377998000000003</v>
      </c>
      <c r="I1070" s="38">
        <f>IF(H1070&gt;30,QUOTIENT(H1070,30)*VLOOKUP(D1070,'报价表-配送'!$B$84:$I$88,8,0),0)+IF(AND(MOD(H1070,30)&gt;18,MOD(H1070,30)&lt;=30),1,0)*VLOOKUP(D1070,'报价表-配送'!$B$84:$I$88,8,0)</f>
        <v>0</v>
      </c>
      <c r="J1070" s="38">
        <f>IF(AND(MOD(H1070,30)&gt;8,MOD(H1070,30)&lt;=18),1*VLOOKUP(D1070,'报价表-配送'!$B$84:$I$88,7,0),0)</f>
        <v>0</v>
      </c>
      <c r="K1070" s="38">
        <f>IF(AND(MOD(H1070,30)&lt;=8,MOD(H1070,30)&gt;0),1,0)*VLOOKUP(D1070,'报价表-配送'!$B$84:$I$88,6,0)</f>
        <v>0</v>
      </c>
      <c r="L1070" s="33"/>
      <c r="M1070" s="1"/>
      <c r="N1070" s="38">
        <f t="shared" si="16"/>
        <v>0</v>
      </c>
    </row>
    <row r="1071" spans="1:14" x14ac:dyDescent="0.25">
      <c r="A1071" t="s">
        <v>111</v>
      </c>
      <c r="B1071" s="43" t="s">
        <v>124</v>
      </c>
      <c r="C1071" s="62">
        <f>VLOOKUP(B1071,合并仓明细!$D$2:$F$74,3,0)</f>
        <v>229</v>
      </c>
      <c r="D1071" s="44" t="s">
        <v>414</v>
      </c>
      <c r="E1071" s="43" t="s">
        <v>290</v>
      </c>
      <c r="F1071" t="s">
        <v>66</v>
      </c>
      <c r="G1071" s="42">
        <v>1351.126</v>
      </c>
      <c r="H1071"/>
      <c r="K1071" s="1"/>
      <c r="L1071" s="33"/>
      <c r="M1071" s="1"/>
      <c r="N1071" s="38">
        <f t="shared" si="16"/>
        <v>0</v>
      </c>
    </row>
    <row r="1072" spans="1:14" x14ac:dyDescent="0.25">
      <c r="A1072" t="s">
        <v>111</v>
      </c>
      <c r="B1072" s="43" t="s">
        <v>124</v>
      </c>
      <c r="C1072" s="62">
        <f>VLOOKUP(B1072,合并仓明细!$D$2:$F$74,3,0)</f>
        <v>229</v>
      </c>
      <c r="D1072" s="44" t="s">
        <v>414</v>
      </c>
      <c r="E1072" s="43" t="s">
        <v>291</v>
      </c>
      <c r="F1072" t="s">
        <v>67</v>
      </c>
      <c r="G1072" s="42">
        <v>2277.6941999999999</v>
      </c>
      <c r="H1072">
        <v>2.2964487222300001</v>
      </c>
      <c r="I1072" s="38">
        <f>IF(H1072&gt;30,QUOTIENT(H1072,30)*VLOOKUP(D1072,'报价表-配送'!$B$84:$I$88,8,0),0)+IF(AND(MOD(H1072,30)&gt;18,MOD(H1072,30)&lt;=30),1,0)*VLOOKUP(D1072,'报价表-配送'!$B$84:$I$88,8,0)</f>
        <v>0</v>
      </c>
      <c r="J1072" s="38">
        <f>IF(AND(MOD(H1072,30)&gt;8,MOD(H1072,30)&lt;=18),1*VLOOKUP(D1072,'报价表-配送'!$B$84:$I$88,7,0),0)</f>
        <v>0</v>
      </c>
      <c r="K1072" s="38">
        <f>IF(AND(MOD(H1072,30)&lt;=8,MOD(H1072,30)&gt;0),1,0)*VLOOKUP(D1072,'报价表-配送'!$B$84:$I$88,6,0)</f>
        <v>0</v>
      </c>
      <c r="L1072" s="60"/>
      <c r="M1072" s="60"/>
      <c r="N1072" s="38">
        <f t="shared" si="16"/>
        <v>0</v>
      </c>
    </row>
    <row r="1073" spans="1:14" x14ac:dyDescent="0.25">
      <c r="A1073" t="s">
        <v>111</v>
      </c>
      <c r="B1073" s="43" t="s">
        <v>124</v>
      </c>
      <c r="C1073" s="62">
        <f>VLOOKUP(B1073,合并仓明细!$D$2:$F$74,3,0)</f>
        <v>229</v>
      </c>
      <c r="D1073" s="44" t="s">
        <v>414</v>
      </c>
      <c r="E1073" s="43" t="s">
        <v>291</v>
      </c>
      <c r="F1073" t="s">
        <v>66</v>
      </c>
      <c r="G1073" s="42">
        <v>18.754522229999999</v>
      </c>
      <c r="H1073"/>
      <c r="K1073" s="1"/>
      <c r="L1073" s="33"/>
      <c r="M1073" s="1"/>
      <c r="N1073" s="38">
        <f t="shared" si="16"/>
        <v>0</v>
      </c>
    </row>
    <row r="1074" spans="1:14" x14ac:dyDescent="0.25">
      <c r="A1074" t="s">
        <v>111</v>
      </c>
      <c r="B1074" s="43" t="s">
        <v>124</v>
      </c>
      <c r="C1074" s="62">
        <f>VLOOKUP(B1074,合并仓明细!$D$2:$F$74,3,0)</f>
        <v>229</v>
      </c>
      <c r="D1074" s="44" t="s">
        <v>414</v>
      </c>
      <c r="E1074" s="43" t="s">
        <v>317</v>
      </c>
      <c r="F1074" t="s">
        <v>67</v>
      </c>
      <c r="G1074" s="42">
        <v>23859.162167999999</v>
      </c>
      <c r="H1074">
        <v>26.101152168000002</v>
      </c>
      <c r="I1074" s="38">
        <f>IF(H1074&gt;30,QUOTIENT(H1074,30)*VLOOKUP(D1074,'报价表-配送'!$B$84:$I$88,8,0),0)+IF(AND(MOD(H1074,30)&gt;18,MOD(H1074,30)&lt;=30),1,0)*VLOOKUP(D1074,'报价表-配送'!$B$84:$I$88,8,0)</f>
        <v>0</v>
      </c>
      <c r="J1074" s="38">
        <f>IF(AND(MOD(H1074,30)&gt;8,MOD(H1074,30)&lt;=18),1*VLOOKUP(D1074,'报价表-配送'!$B$84:$I$88,7,0),0)</f>
        <v>0</v>
      </c>
      <c r="K1074" s="38">
        <f>IF(AND(MOD(H1074,30)&lt;=8,MOD(H1074,30)&gt;0),1,0)*VLOOKUP(D1074,'报价表-配送'!$B$84:$I$88,6,0)</f>
        <v>0</v>
      </c>
      <c r="L1074" s="33"/>
      <c r="M1074" s="1"/>
      <c r="N1074" s="38">
        <f t="shared" si="16"/>
        <v>0</v>
      </c>
    </row>
    <row r="1075" spans="1:14" x14ac:dyDescent="0.25">
      <c r="A1075" t="s">
        <v>111</v>
      </c>
      <c r="B1075" s="43" t="s">
        <v>124</v>
      </c>
      <c r="C1075" s="62">
        <f>VLOOKUP(B1075,合并仓明细!$D$2:$F$74,3,0)</f>
        <v>229</v>
      </c>
      <c r="D1075" s="44" t="s">
        <v>414</v>
      </c>
      <c r="E1075" s="43" t="s">
        <v>317</v>
      </c>
      <c r="F1075" t="s">
        <v>66</v>
      </c>
      <c r="G1075" s="42">
        <v>2241.9900000000002</v>
      </c>
      <c r="H1075"/>
      <c r="I1075" s="46"/>
      <c r="J1075" s="61"/>
      <c r="K1075" s="61"/>
      <c r="L1075" s="60"/>
      <c r="M1075" s="60"/>
      <c r="N1075" s="38">
        <f t="shared" si="16"/>
        <v>0</v>
      </c>
    </row>
    <row r="1076" spans="1:14" x14ac:dyDescent="0.25">
      <c r="A1076" t="s">
        <v>111</v>
      </c>
      <c r="B1076" s="43" t="s">
        <v>124</v>
      </c>
      <c r="C1076" s="62">
        <f>VLOOKUP(B1076,合并仓明细!$D$2:$F$74,3,0)</f>
        <v>229</v>
      </c>
      <c r="D1076" s="44" t="s">
        <v>414</v>
      </c>
      <c r="E1076" s="43" t="s">
        <v>325</v>
      </c>
      <c r="F1076" t="s">
        <v>66</v>
      </c>
      <c r="G1076" s="42">
        <v>182.708</v>
      </c>
      <c r="H1076">
        <v>0.18270800000000001</v>
      </c>
      <c r="K1076" s="1"/>
      <c r="L1076" s="37">
        <f>IF(H1076&gt;30,QUOTIENT(H1076,30)*VLOOKUP(D1076,'报价表-配送'!$B$84:$I$88,8,0),0)+IF(AND(MOD(H1076,30)&gt;18,MOD(H1076,30)&lt;=30),1,0)*VLOOKUP(D1076,'报价表-配送'!$B$84:$I$88,8,0)+IF(AND(MOD(H1076,30)&gt;8,MOD(H1076,30)&lt;=18),1*VLOOKUP(D1076,'报价表-配送'!$B$84:$I$88,7,0),0)+IF(AND(MOD(H1076,30)&lt;=8,MOD(H1076,30)&gt;2.5),1,0)*VLOOKUP(D1076,'报价表-配送'!$B$84:$I$88,6,0)+IF(AND(MOD(H1076,30)&lt;=2.5,MOD(H1076,30)&gt;=1.5),1,0)*VLOOKUP(D1076,'报价表-配送'!$B$84:$I$88,5,0)</f>
        <v>0</v>
      </c>
      <c r="M1076" s="39">
        <f>IF(AND(MOD(H1076,30)&lt;1.5,MOD(H1076,30)&gt;=0.5),H1076,0)*VLOOKUP(D1076,'报价表-配送'!$B$84:$I$88,4,0)*1000+IF(AND(MOD(H1076,30)&lt;0.5,MOD(H1076,30)&gt;=0.02),H1076,0)*VLOOKUP(D1076,'报价表-配送'!$B$84:$I$88,3,0)*1000+IF(AND(MOD(H1076,30)&lt;0.02),H1076,0)*VLOOKUP(D1076,'报价表-配送'!$B$84:$I$88,2,0)*1000</f>
        <v>0</v>
      </c>
      <c r="N1076" s="38">
        <f t="shared" si="16"/>
        <v>0</v>
      </c>
    </row>
    <row r="1077" spans="1:14" x14ac:dyDescent="0.25">
      <c r="A1077" t="s">
        <v>111</v>
      </c>
      <c r="B1077" s="43" t="s">
        <v>124</v>
      </c>
      <c r="C1077" s="62">
        <f>VLOOKUP(B1077,合并仓明细!$D$2:$F$74,3,0)</f>
        <v>229</v>
      </c>
      <c r="D1077" s="44" t="s">
        <v>414</v>
      </c>
      <c r="E1077" s="43" t="s">
        <v>360</v>
      </c>
      <c r="F1077" t="s">
        <v>67</v>
      </c>
      <c r="G1077" s="42">
        <v>4555.3883999999998</v>
      </c>
      <c r="H1077">
        <v>4.6467817333300001</v>
      </c>
      <c r="I1077" s="38">
        <f>IF(H1077&gt;30,QUOTIENT(H1077,30)*VLOOKUP(D1077,'报价表-配送'!$B$84:$I$88,8,0),0)+IF(AND(MOD(H1077,30)&gt;18,MOD(H1077,30)&lt;=30),1,0)*VLOOKUP(D1077,'报价表-配送'!$B$84:$I$88,8,0)</f>
        <v>0</v>
      </c>
      <c r="J1077" s="38">
        <f>IF(AND(MOD(H1077,30)&gt;8,MOD(H1077,30)&lt;=18),1*VLOOKUP(D1077,'报价表-配送'!$B$84:$I$88,7,0),0)</f>
        <v>0</v>
      </c>
      <c r="K1077" s="38">
        <f>IF(AND(MOD(H1077,30)&lt;=8,MOD(H1077,30)&gt;0),1,0)*VLOOKUP(D1077,'报价表-配送'!$B$84:$I$88,6,0)</f>
        <v>0</v>
      </c>
      <c r="L1077" s="33"/>
      <c r="M1077" s="1"/>
      <c r="N1077" s="38">
        <f t="shared" si="16"/>
        <v>0</v>
      </c>
    </row>
    <row r="1078" spans="1:14" x14ac:dyDescent="0.25">
      <c r="A1078" t="s">
        <v>111</v>
      </c>
      <c r="B1078" s="43" t="s">
        <v>124</v>
      </c>
      <c r="C1078" s="62">
        <f>VLOOKUP(B1078,合并仓明细!$D$2:$F$74,3,0)</f>
        <v>229</v>
      </c>
      <c r="D1078" s="44" t="s">
        <v>414</v>
      </c>
      <c r="E1078" s="43" t="s">
        <v>360</v>
      </c>
      <c r="F1078" t="s">
        <v>66</v>
      </c>
      <c r="G1078" s="42">
        <v>91.393333330000019</v>
      </c>
      <c r="H1078"/>
      <c r="I1078" s="46"/>
      <c r="J1078" s="61"/>
      <c r="K1078" s="61"/>
      <c r="L1078" s="60"/>
      <c r="M1078" s="60"/>
      <c r="N1078" s="38">
        <f t="shared" si="16"/>
        <v>0</v>
      </c>
    </row>
    <row r="1079" spans="1:14" x14ac:dyDescent="0.25">
      <c r="A1079" t="s">
        <v>111</v>
      </c>
      <c r="B1079" s="43" t="s">
        <v>124</v>
      </c>
      <c r="C1079" s="62">
        <f>VLOOKUP(B1079,合并仓明细!$D$2:$F$74,3,0)</f>
        <v>229</v>
      </c>
      <c r="D1079" s="44" t="s">
        <v>414</v>
      </c>
      <c r="E1079" s="43" t="s">
        <v>252</v>
      </c>
      <c r="F1079" t="s">
        <v>67</v>
      </c>
      <c r="G1079" s="42">
        <v>1215.4164780000001</v>
      </c>
      <c r="H1079">
        <v>1.9620631446699999</v>
      </c>
      <c r="I1079" s="38">
        <f>IF(H1079&gt;30,QUOTIENT(H1079,30)*VLOOKUP(D1079,'报价表-配送'!$B$84:$I$88,8,0),0)+IF(AND(MOD(H1079,30)&gt;18,MOD(H1079,30)&lt;=30),1,0)*VLOOKUP(D1079,'报价表-配送'!$B$84:$I$88,8,0)</f>
        <v>0</v>
      </c>
      <c r="J1079" s="38">
        <f>IF(AND(MOD(H1079,30)&gt;8,MOD(H1079,30)&lt;=18),1*VLOOKUP(D1079,'报价表-配送'!$B$84:$I$88,7,0),0)</f>
        <v>0</v>
      </c>
      <c r="K1079" s="38">
        <f>IF(AND(MOD(H1079,30)&lt;=8,MOD(H1079,30)&gt;0),1,0)*VLOOKUP(D1079,'报价表-配送'!$B$84:$I$88,6,0)</f>
        <v>0</v>
      </c>
      <c r="L1079" s="33"/>
      <c r="M1079" s="1"/>
      <c r="N1079" s="38">
        <f t="shared" si="16"/>
        <v>0</v>
      </c>
    </row>
    <row r="1080" spans="1:14" x14ac:dyDescent="0.25">
      <c r="A1080" t="s">
        <v>111</v>
      </c>
      <c r="B1080" s="43" t="s">
        <v>124</v>
      </c>
      <c r="C1080" s="62">
        <f>VLOOKUP(B1080,合并仓明细!$D$2:$F$74,3,0)</f>
        <v>229</v>
      </c>
      <c r="D1080" s="44" t="s">
        <v>414</v>
      </c>
      <c r="E1080" s="43" t="s">
        <v>252</v>
      </c>
      <c r="F1080" t="s">
        <v>66</v>
      </c>
      <c r="G1080" s="42">
        <v>746.64666666999995</v>
      </c>
      <c r="H1080"/>
      <c r="K1080" s="1"/>
      <c r="L1080" s="33"/>
      <c r="M1080" s="1"/>
      <c r="N1080" s="38">
        <f t="shared" si="16"/>
        <v>0</v>
      </c>
    </row>
    <row r="1081" spans="1:14" x14ac:dyDescent="0.25">
      <c r="A1081" t="s">
        <v>111</v>
      </c>
      <c r="B1081" s="43" t="s">
        <v>124</v>
      </c>
      <c r="C1081" s="62">
        <f>VLOOKUP(B1081,合并仓明细!$D$2:$F$74,3,0)</f>
        <v>229</v>
      </c>
      <c r="D1081" s="44" t="s">
        <v>414</v>
      </c>
      <c r="E1081" s="43" t="s">
        <v>254</v>
      </c>
      <c r="F1081" t="s">
        <v>67</v>
      </c>
      <c r="G1081" s="42">
        <v>4386.6738000000005</v>
      </c>
      <c r="H1081">
        <v>4.8585908000000009</v>
      </c>
      <c r="I1081" s="38">
        <f>IF(H1081&gt;30,QUOTIENT(H1081,30)*VLOOKUP(D1081,'报价表-配送'!$B$84:$I$88,8,0),0)+IF(AND(MOD(H1081,30)&gt;18,MOD(H1081,30)&lt;=30),1,0)*VLOOKUP(D1081,'报价表-配送'!$B$84:$I$88,8,0)</f>
        <v>0</v>
      </c>
      <c r="J1081" s="38">
        <f>IF(AND(MOD(H1081,30)&gt;8,MOD(H1081,30)&lt;=18),1*VLOOKUP(D1081,'报价表-配送'!$B$84:$I$88,7,0),0)</f>
        <v>0</v>
      </c>
      <c r="K1081" s="38">
        <f>IF(AND(MOD(H1081,30)&lt;=8,MOD(H1081,30)&gt;0),1,0)*VLOOKUP(D1081,'报价表-配送'!$B$84:$I$88,6,0)</f>
        <v>0</v>
      </c>
      <c r="L1081" s="37"/>
      <c r="M1081" s="39"/>
      <c r="N1081" s="38">
        <f t="shared" si="16"/>
        <v>0</v>
      </c>
    </row>
    <row r="1082" spans="1:14" x14ac:dyDescent="0.25">
      <c r="A1082" t="s">
        <v>111</v>
      </c>
      <c r="B1082" s="43" t="s">
        <v>124</v>
      </c>
      <c r="C1082" s="62">
        <f>VLOOKUP(B1082,合并仓明细!$D$2:$F$74,3,0)</f>
        <v>229</v>
      </c>
      <c r="D1082" s="44" t="s">
        <v>414</v>
      </c>
      <c r="E1082" s="43" t="s">
        <v>254</v>
      </c>
      <c r="F1082" t="s">
        <v>66</v>
      </c>
      <c r="G1082" s="42">
        <v>471.91699999999997</v>
      </c>
      <c r="H1082"/>
      <c r="I1082" s="46"/>
      <c r="J1082" s="61"/>
      <c r="K1082" s="61"/>
      <c r="L1082" s="60"/>
      <c r="M1082" s="60"/>
      <c r="N1082" s="38">
        <f t="shared" si="16"/>
        <v>0</v>
      </c>
    </row>
    <row r="1083" spans="1:14" x14ac:dyDescent="0.25">
      <c r="A1083" t="s">
        <v>125</v>
      </c>
      <c r="B1083" s="43" t="s">
        <v>126</v>
      </c>
      <c r="C1083" s="62">
        <f>VLOOKUP(B1083,合并仓明细!$D$2:$F$74,3,0)</f>
        <v>107</v>
      </c>
      <c r="D1083" t="s">
        <v>413</v>
      </c>
      <c r="E1083" s="43" t="s">
        <v>292</v>
      </c>
      <c r="F1083" t="s">
        <v>66</v>
      </c>
      <c r="G1083" s="42">
        <v>973.08833331000005</v>
      </c>
      <c r="H1083">
        <v>0.97308833331</v>
      </c>
      <c r="K1083" s="1"/>
      <c r="L1083" s="37">
        <f>IF(H1083&gt;30,QUOTIENT(H1083,30)*VLOOKUP(D1083,'报价表-配送'!$B$91:$I$95,8,0),0)+IF(AND(MOD(H1083,30)&gt;18,MOD(H1083,30)&lt;=30),1,0)*VLOOKUP(D1083,'报价表-配送'!$B$91:$I$95,8,0)+IF(AND(MOD(H1083,30)&gt;8,MOD(H1083,30)&lt;=18),1*VLOOKUP(D1083,'报价表-配送'!$B$91:$I$95,7,0),0)+IF(AND(MOD(H1083,30)&lt;=8,MOD(H1083,30)&gt;2.5),1,0)*VLOOKUP(D1083,'报价表-配送'!$B$91:$I$95,6,0)+IF(AND(MOD(H1083,30)&lt;=2.5,MOD(H1083,30)&gt;=1.5),1,0)*VLOOKUP(D1083,'报价表-配送'!$B$91:$I$95,5,0)</f>
        <v>0</v>
      </c>
      <c r="M1083" s="39">
        <f>IF(AND(MOD(H1083,30)&lt;1.5,MOD(H1083,30)&gt;=0.5),H1083,0)*VLOOKUP(D1083,'报价表-配送'!$B$91:$I$95,4,0)*1000+IF(AND(MOD(H1083,30)&lt;0.5,MOD(H1083,30)&gt;=0.02),H1083,0)*VLOOKUP(D1083,'报价表-配送'!$B$91:$I$95,3,0)*1000+IF(AND(MOD(H1083,30)&lt;0.02),H1083,0)*VLOOKUP(D1083,'报价表-配送'!$B$91:$I$95,2,0)*1000</f>
        <v>0</v>
      </c>
      <c r="N1083" s="38">
        <f t="shared" si="16"/>
        <v>0</v>
      </c>
    </row>
    <row r="1084" spans="1:14" x14ac:dyDescent="0.25">
      <c r="A1084" t="s">
        <v>125</v>
      </c>
      <c r="B1084" s="43" t="s">
        <v>126</v>
      </c>
      <c r="C1084" s="62">
        <f>VLOOKUP(B1084,合并仓明细!$D$2:$F$74,3,0)</f>
        <v>107</v>
      </c>
      <c r="D1084" t="s">
        <v>413</v>
      </c>
      <c r="E1084" s="43" t="s">
        <v>297</v>
      </c>
      <c r="F1084" t="s">
        <v>66</v>
      </c>
      <c r="G1084" s="42">
        <v>1664.7674999999999</v>
      </c>
      <c r="H1084">
        <v>1.6647675</v>
      </c>
      <c r="K1084" s="1"/>
      <c r="L1084" s="37">
        <f>IF(H1084&gt;30,QUOTIENT(H1084,30)*VLOOKUP(D1084,'报价表-配送'!$B$91:$I$95,8,0),0)+IF(AND(MOD(H1084,30)&gt;18,MOD(H1084,30)&lt;=30),1,0)*VLOOKUP(D1084,'报价表-配送'!$B$91:$I$95,8,0)+IF(AND(MOD(H1084,30)&gt;8,MOD(H1084,30)&lt;=18),1*VLOOKUP(D1084,'报价表-配送'!$B$91:$I$95,7,0),0)+IF(AND(MOD(H1084,30)&lt;=8,MOD(H1084,30)&gt;2.5),1,0)*VLOOKUP(D1084,'报价表-配送'!$B$91:$I$95,6,0)+IF(AND(MOD(H1084,30)&lt;=2.5,MOD(H1084,30)&gt;=1.5),1,0)*VLOOKUP(D1084,'报价表-配送'!$B$91:$I$95,5,0)</f>
        <v>0</v>
      </c>
      <c r="M1084" s="39">
        <f>IF(AND(MOD(H1084,30)&lt;1.5,MOD(H1084,30)&gt;=0.5),H1084,0)*VLOOKUP(D1084,'报价表-配送'!$B$91:$I$95,4,0)*1000+IF(AND(MOD(H1084,30)&lt;0.5,MOD(H1084,30)&gt;=0.02),H1084,0)*VLOOKUP(D1084,'报价表-配送'!$B$91:$I$95,3,0)*1000+IF(AND(MOD(H1084,30)&lt;0.02),H1084,0)*VLOOKUP(D1084,'报价表-配送'!$B$91:$I$95,2,0)*1000</f>
        <v>0</v>
      </c>
      <c r="N1084" s="38">
        <f t="shared" si="16"/>
        <v>0</v>
      </c>
    </row>
    <row r="1085" spans="1:14" x14ac:dyDescent="0.25">
      <c r="A1085" t="s">
        <v>125</v>
      </c>
      <c r="B1085" s="43" t="s">
        <v>126</v>
      </c>
      <c r="C1085" s="62">
        <f>VLOOKUP(B1085,合并仓明细!$D$2:$F$74,3,0)</f>
        <v>107</v>
      </c>
      <c r="D1085" t="s">
        <v>413</v>
      </c>
      <c r="E1085" s="43" t="s">
        <v>300</v>
      </c>
      <c r="F1085" t="s">
        <v>66</v>
      </c>
      <c r="G1085" s="42">
        <v>201.68999999999997</v>
      </c>
      <c r="H1085">
        <v>0.20168999999999998</v>
      </c>
      <c r="I1085" s="46"/>
      <c r="J1085" s="61"/>
      <c r="K1085" s="61"/>
      <c r="L1085" s="37">
        <f>IF(H1085&gt;30,QUOTIENT(H1085,30)*VLOOKUP(D1085,'报价表-配送'!$B$91:$I$95,8,0),0)+IF(AND(MOD(H1085,30)&gt;18,MOD(H1085,30)&lt;=30),1,0)*VLOOKUP(D1085,'报价表-配送'!$B$91:$I$95,8,0)+IF(AND(MOD(H1085,30)&gt;8,MOD(H1085,30)&lt;=18),1*VLOOKUP(D1085,'报价表-配送'!$B$91:$I$95,7,0),0)+IF(AND(MOD(H1085,30)&lt;=8,MOD(H1085,30)&gt;2.5),1,0)*VLOOKUP(D1085,'报价表-配送'!$B$91:$I$95,6,0)+IF(AND(MOD(H1085,30)&lt;=2.5,MOD(H1085,30)&gt;=1.5),1,0)*VLOOKUP(D1085,'报价表-配送'!$B$91:$I$95,5,0)</f>
        <v>0</v>
      </c>
      <c r="M1085" s="39">
        <f>IF(AND(MOD(H1085,30)&lt;1.5,MOD(H1085,30)&gt;=0.5),H1085,0)*VLOOKUP(D1085,'报价表-配送'!$B$91:$I$95,4,0)*1000+IF(AND(MOD(H1085,30)&lt;0.5,MOD(H1085,30)&gt;=0.02),H1085,0)*VLOOKUP(D1085,'报价表-配送'!$B$91:$I$95,3,0)*1000+IF(AND(MOD(H1085,30)&lt;0.02),H1085,0)*VLOOKUP(D1085,'报价表-配送'!$B$91:$I$95,2,0)*1000</f>
        <v>0</v>
      </c>
      <c r="N1085" s="38">
        <f t="shared" si="16"/>
        <v>0</v>
      </c>
    </row>
    <row r="1086" spans="1:14" x14ac:dyDescent="0.25">
      <c r="A1086" t="s">
        <v>125</v>
      </c>
      <c r="B1086" s="43" t="s">
        <v>126</v>
      </c>
      <c r="C1086" s="62">
        <f>VLOOKUP(B1086,合并仓明细!$D$2:$F$74,3,0)</f>
        <v>107</v>
      </c>
      <c r="D1086" t="s">
        <v>413</v>
      </c>
      <c r="E1086" s="43" t="s">
        <v>321</v>
      </c>
      <c r="F1086" t="s">
        <v>66</v>
      </c>
      <c r="G1086" s="42">
        <v>459</v>
      </c>
      <c r="H1086">
        <v>0.45900000000000002</v>
      </c>
      <c r="K1086" s="1"/>
      <c r="L1086" s="37">
        <f>IF(H1086&gt;30,QUOTIENT(H1086,30)*VLOOKUP(D1086,'报价表-配送'!$B$91:$I$95,8,0),0)+IF(AND(MOD(H1086,30)&gt;18,MOD(H1086,30)&lt;=30),1,0)*VLOOKUP(D1086,'报价表-配送'!$B$91:$I$95,8,0)+IF(AND(MOD(H1086,30)&gt;8,MOD(H1086,30)&lt;=18),1*VLOOKUP(D1086,'报价表-配送'!$B$91:$I$95,7,0),0)+IF(AND(MOD(H1086,30)&lt;=8,MOD(H1086,30)&gt;2.5),1,0)*VLOOKUP(D1086,'报价表-配送'!$B$91:$I$95,6,0)+IF(AND(MOD(H1086,30)&lt;=2.5,MOD(H1086,30)&gt;=1.5),1,0)*VLOOKUP(D1086,'报价表-配送'!$B$91:$I$95,5,0)</f>
        <v>0</v>
      </c>
      <c r="M1086" s="39">
        <f>IF(AND(MOD(H1086,30)&lt;1.5,MOD(H1086,30)&gt;=0.5),H1086,0)*VLOOKUP(D1086,'报价表-配送'!$B$91:$I$95,4,0)*1000+IF(AND(MOD(H1086,30)&lt;0.5,MOD(H1086,30)&gt;=0.02),H1086,0)*VLOOKUP(D1086,'报价表-配送'!$B$91:$I$95,3,0)*1000+IF(AND(MOD(H1086,30)&lt;0.02),H1086,0)*VLOOKUP(D1086,'报价表-配送'!$B$91:$I$95,2,0)*1000</f>
        <v>0</v>
      </c>
      <c r="N1086" s="38">
        <f t="shared" si="16"/>
        <v>0</v>
      </c>
    </row>
    <row r="1087" spans="1:14" x14ac:dyDescent="0.25">
      <c r="A1087" t="s">
        <v>125</v>
      </c>
      <c r="B1087" s="43" t="s">
        <v>126</v>
      </c>
      <c r="C1087" s="62">
        <f>VLOOKUP(B1087,合并仓明细!$D$2:$F$74,3,0)</f>
        <v>107</v>
      </c>
      <c r="D1087" t="s">
        <v>413</v>
      </c>
      <c r="E1087" s="43" t="s">
        <v>356</v>
      </c>
      <c r="F1087" t="s">
        <v>66</v>
      </c>
      <c r="G1087" s="42">
        <v>491.8</v>
      </c>
      <c r="H1087">
        <v>0.49180000000000001</v>
      </c>
      <c r="I1087" s="38"/>
      <c r="J1087" s="38"/>
      <c r="K1087" s="38"/>
      <c r="L1087" s="37">
        <f>IF(H1087&gt;30,QUOTIENT(H1087,30)*VLOOKUP(D1087,'报价表-配送'!$B$91:$I$95,8,0),0)+IF(AND(MOD(H1087,30)&gt;18,MOD(H1087,30)&lt;=30),1,0)*VLOOKUP(D1087,'报价表-配送'!$B$91:$I$95,8,0)+IF(AND(MOD(H1087,30)&gt;8,MOD(H1087,30)&lt;=18),1*VLOOKUP(D1087,'报价表-配送'!$B$91:$I$95,7,0),0)+IF(AND(MOD(H1087,30)&lt;=8,MOD(H1087,30)&gt;2.5),1,0)*VLOOKUP(D1087,'报价表-配送'!$B$91:$I$95,6,0)+IF(AND(MOD(H1087,30)&lt;=2.5,MOD(H1087,30)&gt;=1.5),1,0)*VLOOKUP(D1087,'报价表-配送'!$B$91:$I$95,5,0)</f>
        <v>0</v>
      </c>
      <c r="M1087" s="39">
        <f>IF(AND(MOD(H1087,30)&lt;1.5,MOD(H1087,30)&gt;=0.5),H1087,0)*VLOOKUP(D1087,'报价表-配送'!$B$91:$I$95,4,0)*1000+IF(AND(MOD(H1087,30)&lt;0.5,MOD(H1087,30)&gt;=0.02),H1087,0)*VLOOKUP(D1087,'报价表-配送'!$B$91:$I$95,3,0)*1000+IF(AND(MOD(H1087,30)&lt;0.02),H1087,0)*VLOOKUP(D1087,'报价表-配送'!$B$91:$I$95,2,0)*1000</f>
        <v>0</v>
      </c>
      <c r="N1087" s="38">
        <f t="shared" si="16"/>
        <v>0</v>
      </c>
    </row>
    <row r="1088" spans="1:14" x14ac:dyDescent="0.25">
      <c r="A1088" s="103" t="s">
        <v>125</v>
      </c>
      <c r="B1088" s="106" t="s">
        <v>126</v>
      </c>
      <c r="C1088" s="62">
        <f>VLOOKUP(B1088,合并仓明细!$D$2:$F$74,3,0)</f>
        <v>107</v>
      </c>
      <c r="D1088" s="103" t="s">
        <v>413</v>
      </c>
      <c r="E1088" s="106" t="s">
        <v>356</v>
      </c>
      <c r="F1088" s="103" t="s">
        <v>67</v>
      </c>
      <c r="G1088" s="111">
        <v>39000</v>
      </c>
      <c r="H1088" s="103">
        <v>39</v>
      </c>
      <c r="I1088" s="38">
        <f>IF(H1088&gt;30,QUOTIENT(H1088,30)*VLOOKUP(D1088,'报价表-配送'!$B$91:$I$95,8,0),0)+IF(AND(MOD(H1088,30)&gt;18,MOD(H1088,30)&lt;=30),1,0)*VLOOKUP(D1088,'报价表-配送'!$B$91:$I$95,8,0)</f>
        <v>0</v>
      </c>
      <c r="J1088" s="38">
        <f>IF(AND(MOD(H1088,30)&gt;8,MOD(H1088,30)&lt;=18),1*VLOOKUP(D1088,'报价表-配送'!$B$91:$I$95,7,0),0)</f>
        <v>0</v>
      </c>
      <c r="K1088" s="38">
        <f>IF(AND(MOD(H1088,30)&lt;=8,MOD(H1088,30)&gt;0),1,0)*VLOOKUP(D1088,'报价表-配送'!$B$91:$I$95,6,0)</f>
        <v>0</v>
      </c>
      <c r="L1088" s="37"/>
      <c r="M1088" s="39"/>
      <c r="N1088" s="38">
        <f t="shared" si="16"/>
        <v>0</v>
      </c>
    </row>
    <row r="1089" spans="1:14" x14ac:dyDescent="0.25">
      <c r="A1089" s="103" t="s">
        <v>125</v>
      </c>
      <c r="B1089" s="106" t="s">
        <v>126</v>
      </c>
      <c r="C1089" s="62">
        <f>VLOOKUP(B1089,合并仓明细!$D$2:$F$74,3,0)</f>
        <v>107</v>
      </c>
      <c r="D1089" s="103" t="s">
        <v>413</v>
      </c>
      <c r="E1089" s="106" t="s">
        <v>356</v>
      </c>
      <c r="F1089" s="103" t="s">
        <v>67</v>
      </c>
      <c r="G1089" s="111">
        <v>8000</v>
      </c>
      <c r="H1089" s="103">
        <v>8</v>
      </c>
      <c r="I1089" s="38">
        <f>IF(H1089&gt;30,QUOTIENT(H1089,30)*VLOOKUP(D1089,'报价表-配送'!$B$91:$I$95,8,0),0)+IF(AND(MOD(H1089,30)&gt;18,MOD(H1089,30)&lt;=30),1,0)*VLOOKUP(D1089,'报价表-配送'!$B$91:$I$95,8,0)</f>
        <v>0</v>
      </c>
      <c r="J1089" s="38">
        <f>IF(AND(MOD(H1089,30)&gt;8,MOD(H1089,30)&lt;=18),1*VLOOKUP(D1089,'报价表-配送'!$B$91:$I$95,7,0),0)</f>
        <v>0</v>
      </c>
      <c r="K1089" s="38">
        <f>IF(AND(MOD(H1089,30)&lt;=8,MOD(H1089,30)&gt;0),1,0)*VLOOKUP(D1089,'报价表-配送'!$B$91:$I$95,6,0)</f>
        <v>0</v>
      </c>
      <c r="L1089" s="37"/>
      <c r="M1089" s="39"/>
      <c r="N1089" s="38">
        <f t="shared" si="16"/>
        <v>0</v>
      </c>
    </row>
    <row r="1090" spans="1:14" x14ac:dyDescent="0.25">
      <c r="A1090" t="s">
        <v>125</v>
      </c>
      <c r="B1090" s="43" t="s">
        <v>127</v>
      </c>
      <c r="C1090" s="62">
        <f>VLOOKUP(B1090,合并仓明细!$D$2:$F$74,3,0)</f>
        <v>141</v>
      </c>
      <c r="D1090" t="s">
        <v>413</v>
      </c>
      <c r="E1090" s="43" t="s">
        <v>321</v>
      </c>
      <c r="F1090" t="s">
        <v>66</v>
      </c>
      <c r="G1090" s="42">
        <v>17.204999999999998</v>
      </c>
      <c r="H1090">
        <v>1.7205000000000002E-2</v>
      </c>
      <c r="K1090" s="1"/>
      <c r="L1090" s="37">
        <f>IF(H1090&gt;30,QUOTIENT(H1090,30)*VLOOKUP(D1090,'报价表-配送'!$B$91:$I$95,8,0),0)+IF(AND(MOD(H1090,30)&gt;18,MOD(H1090,30)&lt;=30),1,0)*VLOOKUP(D1090,'报价表-配送'!$B$91:$I$95,8,0)+IF(AND(MOD(H1090,30)&gt;8,MOD(H1090,30)&lt;=18),1*VLOOKUP(D1090,'报价表-配送'!$B$91:$I$95,7,0),0)+IF(AND(MOD(H1090,30)&lt;=8,MOD(H1090,30)&gt;2.5),1,0)*VLOOKUP(D1090,'报价表-配送'!$B$91:$I$95,6,0)+IF(AND(MOD(H1090,30)&lt;=2.5,MOD(H1090,30)&gt;=1.5),1,0)*VLOOKUP(D1090,'报价表-配送'!$B$91:$I$95,5,0)</f>
        <v>0</v>
      </c>
      <c r="M1090" s="39">
        <f>IF(AND(MOD(H1090,30)&lt;1.5,MOD(H1090,30)&gt;=0.5),H1090,0)*VLOOKUP(D1090,'报价表-配送'!$B$91:$I$95,4,0)*1000+IF(AND(MOD(H1090,30)&lt;0.5,MOD(H1090,30)&gt;=0.02),H1090,0)*VLOOKUP(D1090,'报价表-配送'!$B$91:$I$95,3,0)*1000+IF(AND(MOD(H1090,30)&lt;0.02),H1090,0)*VLOOKUP(D1090,'报价表-配送'!$B$91:$I$95,2,0)*1000</f>
        <v>0</v>
      </c>
      <c r="N1090" s="38">
        <f t="shared" si="16"/>
        <v>0</v>
      </c>
    </row>
    <row r="1091" spans="1:14" x14ac:dyDescent="0.25">
      <c r="A1091" t="s">
        <v>125</v>
      </c>
      <c r="B1091" s="43" t="s">
        <v>128</v>
      </c>
      <c r="C1091" s="62">
        <f>VLOOKUP(B1091,合并仓明细!$D$2:$F$74,3,0)</f>
        <v>49</v>
      </c>
      <c r="D1091" t="s">
        <v>393</v>
      </c>
      <c r="E1091" s="43" t="s">
        <v>322</v>
      </c>
      <c r="F1091" t="s">
        <v>67</v>
      </c>
      <c r="G1091" s="42">
        <v>26915.873040000002</v>
      </c>
      <c r="H1091">
        <v>27.370838038340004</v>
      </c>
      <c r="I1091" s="38">
        <f>IF(H1091&gt;30,QUOTIENT(H1091,30)*VLOOKUP(D1091,'报价表-配送'!$B$91:$I$95,8,0),0)+IF(AND(MOD(H1091,30)&gt;18,MOD(H1091,30)&lt;=30),1,0)*VLOOKUP(D1091,'报价表-配送'!$B$91:$I$95,8,0)</f>
        <v>0</v>
      </c>
      <c r="J1091" s="38">
        <f>IF(AND(MOD(H1091,30)&gt;8,MOD(H1091,30)&lt;=18),1*VLOOKUP(D1091,'报价表-配送'!$B$91:$I$95,7,0),0)</f>
        <v>0</v>
      </c>
      <c r="K1091" s="38">
        <f>IF(AND(MOD(H1091,30)&lt;=8,MOD(H1091,30)&gt;0),1,0)*VLOOKUP(D1091,'报价表-配送'!$B$91:$I$95,6,0)</f>
        <v>0</v>
      </c>
      <c r="L1091" s="37"/>
      <c r="M1091" s="37"/>
      <c r="N1091" s="38">
        <f t="shared" si="16"/>
        <v>0</v>
      </c>
    </row>
    <row r="1092" spans="1:14" x14ac:dyDescent="0.25">
      <c r="A1092" t="s">
        <v>125</v>
      </c>
      <c r="B1092" s="43" t="s">
        <v>128</v>
      </c>
      <c r="C1092" s="62">
        <f>VLOOKUP(B1092,合并仓明细!$D$2:$F$74,3,0)</f>
        <v>49</v>
      </c>
      <c r="D1092" t="s">
        <v>393</v>
      </c>
      <c r="E1092" s="43" t="s">
        <v>322</v>
      </c>
      <c r="F1092" t="s">
        <v>66</v>
      </c>
      <c r="G1092" s="42">
        <v>454.96499834000002</v>
      </c>
      <c r="H1092"/>
      <c r="K1092" s="1"/>
      <c r="L1092" s="33"/>
      <c r="M1092" s="1"/>
      <c r="N1092" s="38">
        <f t="shared" si="16"/>
        <v>0</v>
      </c>
    </row>
    <row r="1093" spans="1:14" x14ac:dyDescent="0.25">
      <c r="A1093" t="s">
        <v>125</v>
      </c>
      <c r="B1093" s="43" t="s">
        <v>128</v>
      </c>
      <c r="C1093" s="62">
        <f>VLOOKUP(B1093,合并仓明细!$D$2:$F$74,3,0)</f>
        <v>49</v>
      </c>
      <c r="D1093" t="s">
        <v>393</v>
      </c>
      <c r="E1093" s="43" t="s">
        <v>276</v>
      </c>
      <c r="F1093" t="s">
        <v>67</v>
      </c>
      <c r="G1093" s="42">
        <v>10306.155311999999</v>
      </c>
      <c r="H1093">
        <v>11.418292395339998</v>
      </c>
      <c r="I1093" s="38">
        <f>IF(H1093&gt;30,QUOTIENT(H1093,30)*VLOOKUP(D1093,'报价表-配送'!$B$91:$I$95,8,0),0)+IF(AND(MOD(H1093,30)&gt;18,MOD(H1093,30)&lt;=30),1,0)*VLOOKUP(D1093,'报价表-配送'!$B$91:$I$95,8,0)</f>
        <v>0</v>
      </c>
      <c r="J1093" s="38">
        <f>IF(AND(MOD(H1093,30)&gt;8,MOD(H1093,30)&lt;=18),1*VLOOKUP(D1093,'报价表-配送'!$B$91:$I$95,7,0),0)</f>
        <v>0</v>
      </c>
      <c r="K1093" s="38">
        <f>IF(AND(MOD(H1093,30)&lt;=8,MOD(H1093,30)&gt;0),1,0)*VLOOKUP(D1093,'报价表-配送'!$B$91:$I$95,6,0)</f>
        <v>0</v>
      </c>
      <c r="L1093" s="60"/>
      <c r="M1093" s="60"/>
      <c r="N1093" s="38">
        <f t="shared" si="16"/>
        <v>0</v>
      </c>
    </row>
    <row r="1094" spans="1:14" x14ac:dyDescent="0.25">
      <c r="A1094" t="s">
        <v>125</v>
      </c>
      <c r="B1094" s="43" t="s">
        <v>128</v>
      </c>
      <c r="C1094" s="62">
        <f>VLOOKUP(B1094,合并仓明细!$D$2:$F$74,3,0)</f>
        <v>49</v>
      </c>
      <c r="D1094" t="s">
        <v>393</v>
      </c>
      <c r="E1094" s="43" t="s">
        <v>276</v>
      </c>
      <c r="F1094" t="s">
        <v>66</v>
      </c>
      <c r="G1094" s="42">
        <v>1112.1370833400001</v>
      </c>
      <c r="H1094"/>
      <c r="K1094" s="1"/>
      <c r="L1094" s="33"/>
      <c r="M1094" s="1"/>
      <c r="N1094" s="38">
        <f t="shared" si="16"/>
        <v>0</v>
      </c>
    </row>
    <row r="1095" spans="1:14" x14ac:dyDescent="0.25">
      <c r="A1095" t="s">
        <v>125</v>
      </c>
      <c r="B1095" s="43" t="s">
        <v>128</v>
      </c>
      <c r="C1095" s="62">
        <f>VLOOKUP(B1095,合并仓明细!$D$2:$F$74,3,0)</f>
        <v>49</v>
      </c>
      <c r="D1095" t="s">
        <v>393</v>
      </c>
      <c r="E1095" s="43" t="s">
        <v>310</v>
      </c>
      <c r="F1095" t="s">
        <v>66</v>
      </c>
      <c r="G1095" s="42">
        <v>183.33332999999999</v>
      </c>
      <c r="H1095">
        <v>0.18333332999999999</v>
      </c>
      <c r="K1095" s="1"/>
      <c r="L1095" s="37">
        <f>IF(H1095&gt;30,QUOTIENT(H1095,30)*VLOOKUP(D1095,'报价表-配送'!$B$91:$I$95,8,0),0)+IF(AND(MOD(H1095,30)&gt;18,MOD(H1095,30)&lt;=30),1,0)*VLOOKUP(D1095,'报价表-配送'!$B$91:$I$95,8,0)+IF(AND(MOD(H1095,30)&gt;8,MOD(H1095,30)&lt;=18),1*VLOOKUP(D1095,'报价表-配送'!$B$91:$I$95,7,0),0)+IF(AND(MOD(H1095,30)&lt;=8,MOD(H1095,30)&gt;2.5),1,0)*VLOOKUP(D1095,'报价表-配送'!$B$91:$I$95,6,0)+IF(AND(MOD(H1095,30)&lt;=2.5,MOD(H1095,30)&gt;=1.5),1,0)*VLOOKUP(D1095,'报价表-配送'!$B$91:$I$95,5,0)</f>
        <v>0</v>
      </c>
      <c r="M1095" s="39">
        <f>IF(AND(MOD(H1095,30)&lt;1.5,MOD(H1095,30)&gt;=0.5),H1095,0)*VLOOKUP(D1095,'报价表-配送'!$B$91:$I$95,4,0)*1000+IF(AND(MOD(H1095,30)&lt;0.5,MOD(H1095,30)&gt;=0.02),H1095,0)*VLOOKUP(D1095,'报价表-配送'!$B$91:$I$95,3,0)*1000+IF(AND(MOD(H1095,30)&lt;0.02),H1095,0)*VLOOKUP(D1095,'报价表-配送'!$B$91:$I$95,2,0)*1000</f>
        <v>0</v>
      </c>
      <c r="N1095" s="38">
        <f t="shared" si="16"/>
        <v>0</v>
      </c>
    </row>
    <row r="1096" spans="1:14" x14ac:dyDescent="0.25">
      <c r="A1096" t="s">
        <v>125</v>
      </c>
      <c r="B1096" s="43" t="s">
        <v>128</v>
      </c>
      <c r="C1096" s="62">
        <f>VLOOKUP(B1096,合并仓明细!$D$2:$F$74,3,0)</f>
        <v>49</v>
      </c>
      <c r="D1096" t="s">
        <v>393</v>
      </c>
      <c r="E1096" s="43" t="s">
        <v>361</v>
      </c>
      <c r="F1096" t="s">
        <v>66</v>
      </c>
      <c r="G1096" s="42">
        <v>113.16000000000001</v>
      </c>
      <c r="H1096">
        <v>0.11316000000000001</v>
      </c>
      <c r="I1096" s="38"/>
      <c r="J1096" s="38"/>
      <c r="K1096" s="38"/>
      <c r="L1096" s="37">
        <f>IF(H1096&gt;30,QUOTIENT(H1096,30)*VLOOKUP(D1096,'报价表-配送'!$B$91:$I$95,8,0),0)+IF(AND(MOD(H1096,30)&gt;18,MOD(H1096,30)&lt;=30),1,0)*VLOOKUP(D1096,'报价表-配送'!$B$91:$I$95,8,0)+IF(AND(MOD(H1096,30)&gt;8,MOD(H1096,30)&lt;=18),1*VLOOKUP(D1096,'报价表-配送'!$B$91:$I$95,7,0),0)+IF(AND(MOD(H1096,30)&lt;=8,MOD(H1096,30)&gt;2.5),1,0)*VLOOKUP(D1096,'报价表-配送'!$B$91:$I$95,6,0)+IF(AND(MOD(H1096,30)&lt;=2.5,MOD(H1096,30)&gt;=1.5),1,0)*VLOOKUP(D1096,'报价表-配送'!$B$91:$I$95,5,0)</f>
        <v>0</v>
      </c>
      <c r="M1096" s="39">
        <f>IF(AND(MOD(H1096,30)&lt;1.5,MOD(H1096,30)&gt;=0.5),H1096,0)*VLOOKUP(D1096,'报价表-配送'!$B$91:$I$95,4,0)*1000+IF(AND(MOD(H1096,30)&lt;0.5,MOD(H1096,30)&gt;=0.02),H1096,0)*VLOOKUP(D1096,'报价表-配送'!$B$91:$I$95,3,0)*1000+IF(AND(MOD(H1096,30)&lt;0.02),H1096,0)*VLOOKUP(D1096,'报价表-配送'!$B$91:$I$95,2,0)*1000</f>
        <v>0</v>
      </c>
      <c r="N1096" s="38">
        <f t="shared" si="16"/>
        <v>0</v>
      </c>
    </row>
    <row r="1097" spans="1:14" x14ac:dyDescent="0.25">
      <c r="A1097" t="s">
        <v>125</v>
      </c>
      <c r="B1097" s="43" t="s">
        <v>128</v>
      </c>
      <c r="C1097" s="62">
        <f>VLOOKUP(B1097,合并仓明细!$D$2:$F$74,3,0)</f>
        <v>49</v>
      </c>
      <c r="D1097" t="s">
        <v>393</v>
      </c>
      <c r="E1097" s="43" t="s">
        <v>281</v>
      </c>
      <c r="F1097" t="s">
        <v>66</v>
      </c>
      <c r="G1097" s="42">
        <v>91.717500000000001</v>
      </c>
      <c r="H1097">
        <v>9.1717500000000007E-2</v>
      </c>
      <c r="K1097" s="1"/>
      <c r="L1097" s="37">
        <f>IF(H1097&gt;30,QUOTIENT(H1097,30)*VLOOKUP(D1097,'报价表-配送'!$B$91:$I$95,8,0),0)+IF(AND(MOD(H1097,30)&gt;18,MOD(H1097,30)&lt;=30),1,0)*VLOOKUP(D1097,'报价表-配送'!$B$91:$I$95,8,0)+IF(AND(MOD(H1097,30)&gt;8,MOD(H1097,30)&lt;=18),1*VLOOKUP(D1097,'报价表-配送'!$B$91:$I$95,7,0),0)+IF(AND(MOD(H1097,30)&lt;=8,MOD(H1097,30)&gt;2.5),1,0)*VLOOKUP(D1097,'报价表-配送'!$B$91:$I$95,6,0)+IF(AND(MOD(H1097,30)&lt;=2.5,MOD(H1097,30)&gt;=1.5),1,0)*VLOOKUP(D1097,'报价表-配送'!$B$91:$I$95,5,0)</f>
        <v>0</v>
      </c>
      <c r="M1097" s="39">
        <f>IF(AND(MOD(H1097,30)&lt;1.5,MOD(H1097,30)&gt;=0.5),H1097,0)*VLOOKUP(D1097,'报价表-配送'!$B$91:$I$95,4,0)*1000+IF(AND(MOD(H1097,30)&lt;0.5,MOD(H1097,30)&gt;=0.02),H1097,0)*VLOOKUP(D1097,'报价表-配送'!$B$91:$I$95,3,0)*1000+IF(AND(MOD(H1097,30)&lt;0.02),H1097,0)*VLOOKUP(D1097,'报价表-配送'!$B$91:$I$95,2,0)*1000</f>
        <v>0</v>
      </c>
      <c r="N1097" s="38">
        <f t="shared" si="16"/>
        <v>0</v>
      </c>
    </row>
    <row r="1098" spans="1:14" x14ac:dyDescent="0.25">
      <c r="A1098" t="s">
        <v>125</v>
      </c>
      <c r="B1098" s="43" t="s">
        <v>128</v>
      </c>
      <c r="C1098" s="62">
        <f>VLOOKUP(B1098,合并仓明细!$D$2:$F$74,3,0)</f>
        <v>49</v>
      </c>
      <c r="D1098" t="s">
        <v>393</v>
      </c>
      <c r="E1098" s="43" t="s">
        <v>284</v>
      </c>
      <c r="F1098" t="s">
        <v>67</v>
      </c>
      <c r="G1098" s="42">
        <v>2308.3893052000003</v>
      </c>
      <c r="H1098">
        <v>2.9667473960900002</v>
      </c>
      <c r="I1098" s="38">
        <f>IF(H1098&gt;30,QUOTIENT(H1098,30)*VLOOKUP(D1098,'报价表-配送'!$B$91:$I$95,8,0),0)+IF(AND(MOD(H1098,30)&gt;18,MOD(H1098,30)&lt;=30),1,0)*VLOOKUP(D1098,'报价表-配送'!$B$91:$I$95,8,0)</f>
        <v>0</v>
      </c>
      <c r="J1098" s="38">
        <f>IF(AND(MOD(H1098,30)&gt;8,MOD(H1098,30)&lt;=18),1*VLOOKUP(D1098,'报价表-配送'!$B$91:$I$95,7,0),0)</f>
        <v>0</v>
      </c>
      <c r="K1098" s="38">
        <f>IF(AND(MOD(H1098,30)&lt;=8,MOD(H1098,30)&gt;0),1,0)*VLOOKUP(D1098,'报价表-配送'!$B$91:$I$95,6,0)</f>
        <v>0</v>
      </c>
      <c r="L1098" s="37"/>
      <c r="M1098" s="37"/>
      <c r="N1098" s="38">
        <f t="shared" si="16"/>
        <v>0</v>
      </c>
    </row>
    <row r="1099" spans="1:14" x14ac:dyDescent="0.25">
      <c r="A1099" t="s">
        <v>125</v>
      </c>
      <c r="B1099" s="43" t="s">
        <v>128</v>
      </c>
      <c r="C1099" s="62">
        <f>VLOOKUP(B1099,合并仓明细!$D$2:$F$74,3,0)</f>
        <v>49</v>
      </c>
      <c r="D1099" t="s">
        <v>393</v>
      </c>
      <c r="E1099" s="43" t="s">
        <v>284</v>
      </c>
      <c r="F1099" t="s">
        <v>66</v>
      </c>
      <c r="G1099" s="42">
        <v>658.35809088999986</v>
      </c>
      <c r="H1099"/>
      <c r="K1099" s="1"/>
      <c r="L1099" s="33"/>
      <c r="M1099" s="1"/>
      <c r="N1099" s="38">
        <f t="shared" si="16"/>
        <v>0</v>
      </c>
    </row>
    <row r="1100" spans="1:14" x14ac:dyDescent="0.25">
      <c r="A1100" t="s">
        <v>125</v>
      </c>
      <c r="B1100" s="43" t="s">
        <v>128</v>
      </c>
      <c r="C1100" s="62">
        <f>VLOOKUP(B1100,合并仓明细!$D$2:$F$74,3,0)</f>
        <v>49</v>
      </c>
      <c r="D1100" t="s">
        <v>393</v>
      </c>
      <c r="E1100" s="43" t="s">
        <v>324</v>
      </c>
      <c r="F1100" t="s">
        <v>68</v>
      </c>
      <c r="G1100" s="42">
        <v>664.75799999999992</v>
      </c>
      <c r="H1100">
        <v>1.2736676653400001</v>
      </c>
      <c r="I1100" s="46">
        <f>ROUNDUP(H1100/30,0)*VLOOKUP(D1100,'报价表-配送'!$B$91:$I$95,8,0)</f>
        <v>0</v>
      </c>
      <c r="J1100" s="61"/>
      <c r="K1100" s="61"/>
      <c r="L1100" s="60"/>
      <c r="M1100" s="60"/>
      <c r="N1100" s="38">
        <f t="shared" si="16"/>
        <v>0</v>
      </c>
    </row>
    <row r="1101" spans="1:14" x14ac:dyDescent="0.25">
      <c r="A1101" t="s">
        <v>125</v>
      </c>
      <c r="B1101" s="43" t="s">
        <v>128</v>
      </c>
      <c r="C1101" s="62">
        <f>VLOOKUP(B1101,合并仓明细!$D$2:$F$74,3,0)</f>
        <v>49</v>
      </c>
      <c r="D1101" t="s">
        <v>393</v>
      </c>
      <c r="E1101" s="43" t="s">
        <v>324</v>
      </c>
      <c r="F1101" t="s">
        <v>66</v>
      </c>
      <c r="G1101" s="42">
        <v>608.90966534000017</v>
      </c>
      <c r="H1101"/>
      <c r="K1101" s="1"/>
      <c r="L1101" s="33"/>
      <c r="M1101" s="1"/>
      <c r="N1101" s="38">
        <f t="shared" si="16"/>
        <v>0</v>
      </c>
    </row>
    <row r="1102" spans="1:14" x14ac:dyDescent="0.25">
      <c r="A1102" t="s">
        <v>125</v>
      </c>
      <c r="B1102" s="43" t="s">
        <v>128</v>
      </c>
      <c r="C1102" s="62">
        <f>VLOOKUP(B1102,合并仓明细!$D$2:$F$74,3,0)</f>
        <v>49</v>
      </c>
      <c r="D1102" t="s">
        <v>393</v>
      </c>
      <c r="E1102" s="43" t="s">
        <v>315</v>
      </c>
      <c r="F1102" t="s">
        <v>66</v>
      </c>
      <c r="G1102" s="42">
        <v>196.89999999999998</v>
      </c>
      <c r="H1102">
        <v>0.19689999999999996</v>
      </c>
      <c r="K1102" s="1"/>
      <c r="L1102" s="37">
        <f>IF(H1102&gt;30,QUOTIENT(H1102,30)*VLOOKUP(D1102,'报价表-配送'!$B$91:$I$95,8,0),0)+IF(AND(MOD(H1102,30)&gt;18,MOD(H1102,30)&lt;=30),1,0)*VLOOKUP(D1102,'报价表-配送'!$B$91:$I$95,8,0)+IF(AND(MOD(H1102,30)&gt;8,MOD(H1102,30)&lt;=18),1*VLOOKUP(D1102,'报价表-配送'!$B$91:$I$95,7,0),0)+IF(AND(MOD(H1102,30)&lt;=8,MOD(H1102,30)&gt;2.5),1,0)*VLOOKUP(D1102,'报价表-配送'!$B$91:$I$95,6,0)+IF(AND(MOD(H1102,30)&lt;=2.5,MOD(H1102,30)&gt;=1.5),1,0)*VLOOKUP(D1102,'报价表-配送'!$B$91:$I$95,5,0)</f>
        <v>0</v>
      </c>
      <c r="M1102" s="39">
        <f>IF(AND(MOD(H1102,30)&lt;1.5,MOD(H1102,30)&gt;=0.5),H1102,0)*VLOOKUP(D1102,'报价表-配送'!$B$91:$I$95,4,0)*1000+IF(AND(MOD(H1102,30)&lt;0.5,MOD(H1102,30)&gt;=0.02),H1102,0)*VLOOKUP(D1102,'报价表-配送'!$B$91:$I$95,3,0)*1000+IF(AND(MOD(H1102,30)&lt;0.02),H1102,0)*VLOOKUP(D1102,'报价表-配送'!$B$91:$I$95,2,0)*1000</f>
        <v>0</v>
      </c>
      <c r="N1102" s="38">
        <f t="shared" si="16"/>
        <v>0</v>
      </c>
    </row>
    <row r="1103" spans="1:14" x14ac:dyDescent="0.25">
      <c r="A1103" t="s">
        <v>125</v>
      </c>
      <c r="B1103" s="43" t="s">
        <v>128</v>
      </c>
      <c r="C1103" s="62">
        <f>VLOOKUP(B1103,合并仓明细!$D$2:$F$74,3,0)</f>
        <v>49</v>
      </c>
      <c r="D1103" t="s">
        <v>393</v>
      </c>
      <c r="E1103" s="43" t="s">
        <v>340</v>
      </c>
      <c r="F1103" t="s">
        <v>68</v>
      </c>
      <c r="G1103" s="42">
        <v>1793.3039999999999</v>
      </c>
      <c r="H1103">
        <v>38.566623269299996</v>
      </c>
      <c r="I1103" s="46">
        <f>ROUNDUP(H1103/30,0)*VLOOKUP(D1103,'报价表-配送'!$B$91:$I$95,8,0)</f>
        <v>0</v>
      </c>
      <c r="J1103" s="38"/>
      <c r="K1103" s="38"/>
      <c r="L1103" s="37"/>
      <c r="M1103" s="37"/>
      <c r="N1103" s="38">
        <f t="shared" si="16"/>
        <v>0</v>
      </c>
    </row>
    <row r="1104" spans="1:14" x14ac:dyDescent="0.25">
      <c r="A1104" t="s">
        <v>125</v>
      </c>
      <c r="B1104" s="43" t="s">
        <v>128</v>
      </c>
      <c r="C1104" s="62">
        <f>VLOOKUP(B1104,合并仓明细!$D$2:$F$74,3,0)</f>
        <v>49</v>
      </c>
      <c r="D1104" t="s">
        <v>393</v>
      </c>
      <c r="E1104" s="43" t="s">
        <v>340</v>
      </c>
      <c r="F1104" t="s">
        <v>67</v>
      </c>
      <c r="G1104" s="42">
        <v>35662.005936000001</v>
      </c>
      <c r="H1104"/>
      <c r="K1104" s="1"/>
      <c r="L1104" s="33"/>
      <c r="M1104" s="1"/>
      <c r="N1104" s="38">
        <f t="shared" si="16"/>
        <v>0</v>
      </c>
    </row>
    <row r="1105" spans="1:14" x14ac:dyDescent="0.25">
      <c r="A1105" t="s">
        <v>125</v>
      </c>
      <c r="B1105" s="43" t="s">
        <v>128</v>
      </c>
      <c r="C1105" s="62">
        <f>VLOOKUP(B1105,合并仓明细!$D$2:$F$74,3,0)</f>
        <v>49</v>
      </c>
      <c r="D1105" t="s">
        <v>393</v>
      </c>
      <c r="E1105" s="43" t="s">
        <v>340</v>
      </c>
      <c r="F1105" t="s">
        <v>66</v>
      </c>
      <c r="G1105" s="42">
        <v>1111.3133333000003</v>
      </c>
      <c r="H1105"/>
      <c r="I1105" s="38"/>
      <c r="J1105" s="38"/>
      <c r="K1105" s="38"/>
      <c r="L1105" s="37"/>
      <c r="M1105" s="37"/>
      <c r="N1105" s="38">
        <f t="shared" si="16"/>
        <v>0</v>
      </c>
    </row>
    <row r="1106" spans="1:14" x14ac:dyDescent="0.25">
      <c r="A1106" t="s">
        <v>125</v>
      </c>
      <c r="B1106" s="43" t="s">
        <v>128</v>
      </c>
      <c r="C1106" s="62">
        <f>VLOOKUP(B1106,合并仓明细!$D$2:$F$74,3,0)</f>
        <v>49</v>
      </c>
      <c r="D1106" t="s">
        <v>393</v>
      </c>
      <c r="E1106" s="43" t="s">
        <v>292</v>
      </c>
      <c r="F1106" t="s">
        <v>66</v>
      </c>
      <c r="G1106" s="42">
        <v>257.34000000000003</v>
      </c>
      <c r="H1106">
        <v>0.25734000000000001</v>
      </c>
      <c r="K1106" s="1"/>
      <c r="L1106" s="37">
        <f>IF(H1106&gt;30,QUOTIENT(H1106,30)*VLOOKUP(D1106,'报价表-配送'!$B$91:$I$95,8,0),0)+IF(AND(MOD(H1106,30)&gt;18,MOD(H1106,30)&lt;=30),1,0)*VLOOKUP(D1106,'报价表-配送'!$B$91:$I$95,8,0)+IF(AND(MOD(H1106,30)&gt;8,MOD(H1106,30)&lt;=18),1*VLOOKUP(D1106,'报价表-配送'!$B$91:$I$95,7,0),0)+IF(AND(MOD(H1106,30)&lt;=8,MOD(H1106,30)&gt;2.5),1,0)*VLOOKUP(D1106,'报价表-配送'!$B$91:$I$95,6,0)+IF(AND(MOD(H1106,30)&lt;=2.5,MOD(H1106,30)&gt;=1.5),1,0)*VLOOKUP(D1106,'报价表-配送'!$B$91:$I$95,5,0)</f>
        <v>0</v>
      </c>
      <c r="M1106" s="39">
        <f>IF(AND(MOD(H1106,30)&lt;1.5,MOD(H1106,30)&gt;=0.5),H1106,0)*VLOOKUP(D1106,'报价表-配送'!$B$91:$I$95,4,0)*1000+IF(AND(MOD(H1106,30)&lt;0.5,MOD(H1106,30)&gt;=0.02),H1106,0)*VLOOKUP(D1106,'报价表-配送'!$B$91:$I$95,3,0)*1000+IF(AND(MOD(H1106,30)&lt;0.02),H1106,0)*VLOOKUP(D1106,'报价表-配送'!$B$91:$I$95,2,0)*1000</f>
        <v>0</v>
      </c>
      <c r="N1106" s="38">
        <f t="shared" si="16"/>
        <v>0</v>
      </c>
    </row>
    <row r="1107" spans="1:14" x14ac:dyDescent="0.25">
      <c r="A1107" t="s">
        <v>125</v>
      </c>
      <c r="B1107" s="43" t="s">
        <v>128</v>
      </c>
      <c r="C1107" s="62">
        <f>VLOOKUP(B1107,合并仓明细!$D$2:$F$74,3,0)</f>
        <v>49</v>
      </c>
      <c r="D1107" t="s">
        <v>393</v>
      </c>
      <c r="E1107" s="43" t="s">
        <v>293</v>
      </c>
      <c r="F1107" t="s">
        <v>67</v>
      </c>
      <c r="G1107" s="42">
        <v>22518.591731999993</v>
      </c>
      <c r="H1107">
        <v>22.589416731999993</v>
      </c>
      <c r="I1107" s="38">
        <f>IF(H1107&gt;30,QUOTIENT(H1107,30)*VLOOKUP(D1107,'报价表-配送'!$B$91:$I$95,8,0),0)+IF(AND(MOD(H1107,30)&gt;18,MOD(H1107,30)&lt;=30),1,0)*VLOOKUP(D1107,'报价表-配送'!$B$91:$I$95,8,0)</f>
        <v>0</v>
      </c>
      <c r="J1107" s="38">
        <f>IF(AND(MOD(H1107,30)&gt;8,MOD(H1107,30)&lt;=18),1*VLOOKUP(D1107,'报价表-配送'!$B$91:$I$95,7,0),0)</f>
        <v>0</v>
      </c>
      <c r="K1107" s="38">
        <f>IF(AND(MOD(H1107,30)&lt;=8,MOD(H1107,30)&gt;0),1,0)*VLOOKUP(D1107,'报价表-配送'!$B$91:$I$95,6,0)</f>
        <v>0</v>
      </c>
      <c r="L1107" s="60"/>
      <c r="M1107" s="60"/>
      <c r="N1107" s="38">
        <f t="shared" si="16"/>
        <v>0</v>
      </c>
    </row>
    <row r="1108" spans="1:14" x14ac:dyDescent="0.25">
      <c r="A1108" t="s">
        <v>125</v>
      </c>
      <c r="B1108" s="43" t="s">
        <v>128</v>
      </c>
      <c r="C1108" s="62">
        <f>VLOOKUP(B1108,合并仓明细!$D$2:$F$74,3,0)</f>
        <v>49</v>
      </c>
      <c r="D1108" t="s">
        <v>393</v>
      </c>
      <c r="E1108" s="43" t="s">
        <v>293</v>
      </c>
      <c r="F1108" t="s">
        <v>66</v>
      </c>
      <c r="G1108" s="42">
        <v>70.825000000000003</v>
      </c>
      <c r="H1108"/>
      <c r="K1108" s="1"/>
      <c r="L1108" s="33"/>
      <c r="M1108" s="1"/>
      <c r="N1108" s="38">
        <f t="shared" si="16"/>
        <v>0</v>
      </c>
    </row>
    <row r="1109" spans="1:14" x14ac:dyDescent="0.25">
      <c r="A1109" t="s">
        <v>125</v>
      </c>
      <c r="B1109" s="43" t="s">
        <v>128</v>
      </c>
      <c r="C1109" s="62">
        <f>VLOOKUP(B1109,合并仓明细!$D$2:$F$74,3,0)</f>
        <v>49</v>
      </c>
      <c r="D1109" t="s">
        <v>393</v>
      </c>
      <c r="E1109" s="43" t="s">
        <v>317</v>
      </c>
      <c r="F1109" t="s">
        <v>67</v>
      </c>
      <c r="G1109" s="42">
        <v>512.79170399999998</v>
      </c>
      <c r="H1109">
        <v>0.60219503732000002</v>
      </c>
      <c r="I1109" s="38">
        <f>IF(H1109&gt;30,QUOTIENT(H1109,30)*VLOOKUP(D1109,'报价表-配送'!$B$91:$I$95,8,0),0)+IF(AND(MOD(H1109,30)&gt;18,MOD(H1109,30)&lt;=30),1,0)*VLOOKUP(D1109,'报价表-配送'!$B$91:$I$95,8,0)</f>
        <v>0</v>
      </c>
      <c r="J1109" s="38">
        <f>IF(AND(MOD(H1109,30)&gt;8,MOD(H1109,30)&lt;=18),1*VLOOKUP(D1109,'报价表-配送'!$B$91:$I$95,7,0),0)</f>
        <v>0</v>
      </c>
      <c r="K1109" s="38">
        <f>IF(AND(MOD(H1109,30)&lt;=8,MOD(H1109,30)&gt;0),1,0)*VLOOKUP(D1109,'报价表-配送'!$B$91:$I$95,6,0)</f>
        <v>0</v>
      </c>
      <c r="L1109" s="33"/>
      <c r="M1109" s="1"/>
      <c r="N1109" s="38">
        <f t="shared" si="16"/>
        <v>0</v>
      </c>
    </row>
    <row r="1110" spans="1:14" x14ac:dyDescent="0.25">
      <c r="A1110" t="s">
        <v>125</v>
      </c>
      <c r="B1110" s="43" t="s">
        <v>128</v>
      </c>
      <c r="C1110" s="62">
        <f>VLOOKUP(B1110,合并仓明细!$D$2:$F$74,3,0)</f>
        <v>49</v>
      </c>
      <c r="D1110" t="s">
        <v>393</v>
      </c>
      <c r="E1110" s="43" t="s">
        <v>317</v>
      </c>
      <c r="F1110" t="s">
        <v>66</v>
      </c>
      <c r="G1110" s="42">
        <v>89.403333320000002</v>
      </c>
      <c r="H1110"/>
      <c r="I1110" s="46"/>
      <c r="J1110" s="61"/>
      <c r="K1110" s="61"/>
      <c r="L1110" s="60"/>
      <c r="M1110" s="60"/>
      <c r="N1110" s="38">
        <f t="shared" si="16"/>
        <v>0</v>
      </c>
    </row>
    <row r="1111" spans="1:14" x14ac:dyDescent="0.25">
      <c r="A1111" t="s">
        <v>125</v>
      </c>
      <c r="B1111" s="43" t="s">
        <v>128</v>
      </c>
      <c r="C1111" s="62">
        <f>VLOOKUP(B1111,合并仓明细!$D$2:$F$74,3,0)</f>
        <v>49</v>
      </c>
      <c r="D1111" t="s">
        <v>393</v>
      </c>
      <c r="E1111" s="43" t="s">
        <v>296</v>
      </c>
      <c r="F1111" t="s">
        <v>66</v>
      </c>
      <c r="G1111" s="42">
        <v>286.79999999999995</v>
      </c>
      <c r="H1111">
        <v>0.28679999999999994</v>
      </c>
      <c r="K1111" s="1"/>
      <c r="L1111" s="37">
        <f>IF(H1111&gt;30,QUOTIENT(H1111,30)*VLOOKUP(D1111,'报价表-配送'!$B$91:$I$95,8,0),0)+IF(AND(MOD(H1111,30)&gt;18,MOD(H1111,30)&lt;=30),1,0)*VLOOKUP(D1111,'报价表-配送'!$B$91:$I$95,8,0)+IF(AND(MOD(H1111,30)&gt;8,MOD(H1111,30)&lt;=18),1*VLOOKUP(D1111,'报价表-配送'!$B$91:$I$95,7,0),0)+IF(AND(MOD(H1111,30)&lt;=8,MOD(H1111,30)&gt;2.5),1,0)*VLOOKUP(D1111,'报价表-配送'!$B$91:$I$95,6,0)+IF(AND(MOD(H1111,30)&lt;=2.5,MOD(H1111,30)&gt;=1.5),1,0)*VLOOKUP(D1111,'报价表-配送'!$B$91:$I$95,5,0)</f>
        <v>0</v>
      </c>
      <c r="M1111" s="39">
        <f>IF(AND(MOD(H1111,30)&lt;1.5,MOD(H1111,30)&gt;=0.5),H1111,0)*VLOOKUP(D1111,'报价表-配送'!$B$91:$I$95,4,0)*1000+IF(AND(MOD(H1111,30)&lt;0.5,MOD(H1111,30)&gt;=0.02),H1111,0)*VLOOKUP(D1111,'报价表-配送'!$B$91:$I$95,3,0)*1000+IF(AND(MOD(H1111,30)&lt;0.02),H1111,0)*VLOOKUP(D1111,'报价表-配送'!$B$91:$I$95,2,0)*1000</f>
        <v>0</v>
      </c>
      <c r="N1111" s="38">
        <f t="shared" si="16"/>
        <v>0</v>
      </c>
    </row>
    <row r="1112" spans="1:14" x14ac:dyDescent="0.25">
      <c r="A1112" t="s">
        <v>125</v>
      </c>
      <c r="B1112" s="43" t="s">
        <v>128</v>
      </c>
      <c r="C1112" s="62">
        <f>VLOOKUP(B1112,合并仓明细!$D$2:$F$74,3,0)</f>
        <v>49</v>
      </c>
      <c r="D1112" t="s">
        <v>393</v>
      </c>
      <c r="E1112" s="43" t="s">
        <v>353</v>
      </c>
      <c r="F1112" t="s">
        <v>67</v>
      </c>
      <c r="G1112" s="42">
        <v>3122.2439039999999</v>
      </c>
      <c r="H1112">
        <v>3.3285339039999999</v>
      </c>
      <c r="I1112" s="38">
        <f>IF(H1112&gt;30,QUOTIENT(H1112,30)*VLOOKUP(D1112,'报价表-配送'!$B$91:$I$95,8,0),0)+IF(AND(MOD(H1112,30)&gt;18,MOD(H1112,30)&lt;=30),1,0)*VLOOKUP(D1112,'报价表-配送'!$B$91:$I$95,8,0)</f>
        <v>0</v>
      </c>
      <c r="J1112" s="38">
        <f>IF(AND(MOD(H1112,30)&gt;8,MOD(H1112,30)&lt;=18),1*VLOOKUP(D1112,'报价表-配送'!$B$91:$I$95,7,0),0)</f>
        <v>0</v>
      </c>
      <c r="K1112" s="38">
        <f>IF(AND(MOD(H1112,30)&lt;=8,MOD(H1112,30)&gt;0),1,0)*VLOOKUP(D1112,'报价表-配送'!$B$91:$I$95,6,0)</f>
        <v>0</v>
      </c>
      <c r="L1112" s="33"/>
      <c r="M1112" s="1"/>
      <c r="N1112" s="38">
        <f t="shared" si="16"/>
        <v>0</v>
      </c>
    </row>
    <row r="1113" spans="1:14" x14ac:dyDescent="0.25">
      <c r="A1113" t="s">
        <v>125</v>
      </c>
      <c r="B1113" s="43" t="s">
        <v>128</v>
      </c>
      <c r="C1113" s="62">
        <f>VLOOKUP(B1113,合并仓明细!$D$2:$F$74,3,0)</f>
        <v>49</v>
      </c>
      <c r="D1113" t="s">
        <v>393</v>
      </c>
      <c r="E1113" s="43" t="s">
        <v>353</v>
      </c>
      <c r="F1113" t="s">
        <v>66</v>
      </c>
      <c r="G1113" s="42">
        <v>206.28999999999996</v>
      </c>
      <c r="H1113"/>
      <c r="I1113" s="46"/>
      <c r="J1113" s="61"/>
      <c r="K1113" s="61"/>
      <c r="L1113" s="60"/>
      <c r="M1113" s="60"/>
      <c r="N1113" s="38">
        <f t="shared" si="16"/>
        <v>0</v>
      </c>
    </row>
    <row r="1114" spans="1:14" x14ac:dyDescent="0.25">
      <c r="A1114" t="s">
        <v>125</v>
      </c>
      <c r="B1114" s="43" t="s">
        <v>128</v>
      </c>
      <c r="C1114" s="62">
        <f>VLOOKUP(B1114,合并仓明细!$D$2:$F$74,3,0)</f>
        <v>49</v>
      </c>
      <c r="D1114" t="s">
        <v>393</v>
      </c>
      <c r="E1114" s="43" t="s">
        <v>325</v>
      </c>
      <c r="F1114" t="s">
        <v>66</v>
      </c>
      <c r="G1114" s="42">
        <v>171.80500000000001</v>
      </c>
      <c r="H1114">
        <v>0.17180500000000001</v>
      </c>
      <c r="K1114" s="1"/>
      <c r="L1114" s="37">
        <f>IF(H1114&gt;30,QUOTIENT(H1114,30)*VLOOKUP(D1114,'报价表-配送'!$B$91:$I$95,8,0),0)+IF(AND(MOD(H1114,30)&gt;18,MOD(H1114,30)&lt;=30),1,0)*VLOOKUP(D1114,'报价表-配送'!$B$91:$I$95,8,0)+IF(AND(MOD(H1114,30)&gt;8,MOD(H1114,30)&lt;=18),1*VLOOKUP(D1114,'报价表-配送'!$B$91:$I$95,7,0),0)+IF(AND(MOD(H1114,30)&lt;=8,MOD(H1114,30)&gt;2.5),1,0)*VLOOKUP(D1114,'报价表-配送'!$B$91:$I$95,6,0)+IF(AND(MOD(H1114,30)&lt;=2.5,MOD(H1114,30)&gt;=1.5),1,0)*VLOOKUP(D1114,'报价表-配送'!$B$91:$I$95,5,0)</f>
        <v>0</v>
      </c>
      <c r="M1114" s="39">
        <f>IF(AND(MOD(H1114,30)&lt;1.5,MOD(H1114,30)&gt;=0.5),H1114,0)*VLOOKUP(D1114,'报价表-配送'!$B$91:$I$95,4,0)*1000+IF(AND(MOD(H1114,30)&lt;0.5,MOD(H1114,30)&gt;=0.02),H1114,0)*VLOOKUP(D1114,'报价表-配送'!$B$91:$I$95,3,0)*1000+IF(AND(MOD(H1114,30)&lt;0.02),H1114,0)*VLOOKUP(D1114,'报价表-配送'!$B$91:$I$95,2,0)*1000</f>
        <v>0</v>
      </c>
      <c r="N1114" s="38">
        <f t="shared" ref="N1114:N1177" si="17">SUM(I1114:M1114)</f>
        <v>0</v>
      </c>
    </row>
    <row r="1115" spans="1:14" x14ac:dyDescent="0.25">
      <c r="A1115" t="s">
        <v>125</v>
      </c>
      <c r="B1115" s="43" t="s">
        <v>128</v>
      </c>
      <c r="C1115" s="62">
        <f>VLOOKUP(B1115,合并仓明细!$D$2:$F$74,3,0)</f>
        <v>49</v>
      </c>
      <c r="D1115" t="s">
        <v>393</v>
      </c>
      <c r="E1115" s="43" t="s">
        <v>297</v>
      </c>
      <c r="F1115" t="s">
        <v>67</v>
      </c>
      <c r="G1115" s="42">
        <v>1630.0307760000001</v>
      </c>
      <c r="H1115">
        <v>1.6300307760000001</v>
      </c>
      <c r="I1115" s="38">
        <f>IF(H1115&gt;30,QUOTIENT(H1115,30)*VLOOKUP(D1115,'报价表-配送'!$B$91:$I$95,8,0),0)+IF(AND(MOD(H1115,30)&gt;18,MOD(H1115,30)&lt;=30),1,0)*VLOOKUP(D1115,'报价表-配送'!$B$91:$I$95,8,0)</f>
        <v>0</v>
      </c>
      <c r="J1115" s="38">
        <f>IF(AND(MOD(H1115,30)&gt;8,MOD(H1115,30)&lt;=18),1*VLOOKUP(D1115,'报价表-配送'!$B$91:$I$95,7,0),0)</f>
        <v>0</v>
      </c>
      <c r="K1115" s="38">
        <f>IF(AND(MOD(H1115,30)&lt;=8,MOD(H1115,30)&gt;0),1,0)*VLOOKUP(D1115,'报价表-配送'!$B$91:$I$95,6,0)</f>
        <v>0</v>
      </c>
      <c r="L1115" s="33"/>
      <c r="M1115" s="1"/>
      <c r="N1115" s="38">
        <f t="shared" si="17"/>
        <v>0</v>
      </c>
    </row>
    <row r="1116" spans="1:14" x14ac:dyDescent="0.25">
      <c r="A1116" t="s">
        <v>125</v>
      </c>
      <c r="B1116" s="43" t="s">
        <v>128</v>
      </c>
      <c r="C1116" s="62">
        <f>VLOOKUP(B1116,合并仓明细!$D$2:$F$74,3,0)</f>
        <v>49</v>
      </c>
      <c r="D1116" t="s">
        <v>393</v>
      </c>
      <c r="E1116" s="43" t="s">
        <v>298</v>
      </c>
      <c r="F1116" t="s">
        <v>68</v>
      </c>
      <c r="G1116" s="42">
        <v>1229.2569599999999</v>
      </c>
      <c r="H1116">
        <v>22.664450777339994</v>
      </c>
      <c r="I1116" s="46">
        <f>ROUNDUP(H1116/30,0)*VLOOKUP(D1116,'报价表-配送'!$B$91:$I$95,8,0)</f>
        <v>0</v>
      </c>
      <c r="J1116" s="61"/>
      <c r="K1116" s="61"/>
      <c r="L1116" s="60"/>
      <c r="M1116" s="60"/>
      <c r="N1116" s="38">
        <f t="shared" si="17"/>
        <v>0</v>
      </c>
    </row>
    <row r="1117" spans="1:14" x14ac:dyDescent="0.25">
      <c r="A1117" t="s">
        <v>125</v>
      </c>
      <c r="B1117" s="43" t="s">
        <v>128</v>
      </c>
      <c r="C1117" s="62">
        <f>VLOOKUP(B1117,合并仓明细!$D$2:$F$74,3,0)</f>
        <v>49</v>
      </c>
      <c r="D1117" t="s">
        <v>393</v>
      </c>
      <c r="E1117" s="43" t="s">
        <v>298</v>
      </c>
      <c r="F1117" t="s">
        <v>67</v>
      </c>
      <c r="G1117" s="42">
        <v>20892.584483999995</v>
      </c>
      <c r="H1117"/>
      <c r="K1117" s="1"/>
      <c r="L1117" s="33"/>
      <c r="M1117" s="1"/>
      <c r="N1117" s="38">
        <f t="shared" si="17"/>
        <v>0</v>
      </c>
    </row>
    <row r="1118" spans="1:14" x14ac:dyDescent="0.25">
      <c r="A1118" t="s">
        <v>125</v>
      </c>
      <c r="B1118" s="43" t="s">
        <v>128</v>
      </c>
      <c r="C1118" s="62">
        <f>VLOOKUP(B1118,合并仓明细!$D$2:$F$74,3,0)</f>
        <v>49</v>
      </c>
      <c r="D1118" t="s">
        <v>393</v>
      </c>
      <c r="E1118" s="43" t="s">
        <v>298</v>
      </c>
      <c r="F1118" t="s">
        <v>66</v>
      </c>
      <c r="G1118" s="42">
        <v>542.60933333999992</v>
      </c>
      <c r="H1118"/>
      <c r="K1118" s="1"/>
      <c r="L1118" s="33"/>
      <c r="M1118" s="1"/>
      <c r="N1118" s="38">
        <f t="shared" si="17"/>
        <v>0</v>
      </c>
    </row>
    <row r="1119" spans="1:14" x14ac:dyDescent="0.25">
      <c r="A1119" t="s">
        <v>125</v>
      </c>
      <c r="B1119" s="43" t="s">
        <v>128</v>
      </c>
      <c r="C1119" s="62">
        <f>VLOOKUP(B1119,合并仓明细!$D$2:$F$74,3,0)</f>
        <v>49</v>
      </c>
      <c r="D1119" t="s">
        <v>393</v>
      </c>
      <c r="E1119" s="43" t="s">
        <v>357</v>
      </c>
      <c r="F1119" t="s">
        <v>66</v>
      </c>
      <c r="G1119" s="42">
        <v>430.77666662999991</v>
      </c>
      <c r="H1119">
        <v>0.43077666662999992</v>
      </c>
      <c r="I1119" s="46"/>
      <c r="J1119" s="61"/>
      <c r="K1119" s="61"/>
      <c r="L1119" s="37">
        <f>IF(H1119&gt;30,QUOTIENT(H1119,30)*VLOOKUP(D1119,'报价表-配送'!$B$91:$I$95,8,0),0)+IF(AND(MOD(H1119,30)&gt;18,MOD(H1119,30)&lt;=30),1,0)*VLOOKUP(D1119,'报价表-配送'!$B$91:$I$95,8,0)+IF(AND(MOD(H1119,30)&gt;8,MOD(H1119,30)&lt;=18),1*VLOOKUP(D1119,'报价表-配送'!$B$91:$I$95,7,0),0)+IF(AND(MOD(H1119,30)&lt;=8,MOD(H1119,30)&gt;2.5),1,0)*VLOOKUP(D1119,'报价表-配送'!$B$91:$I$95,6,0)+IF(AND(MOD(H1119,30)&lt;=2.5,MOD(H1119,30)&gt;=1.5),1,0)*VLOOKUP(D1119,'报价表-配送'!$B$91:$I$95,5,0)</f>
        <v>0</v>
      </c>
      <c r="M1119" s="39">
        <f>IF(AND(MOD(H1119,30)&lt;1.5,MOD(H1119,30)&gt;=0.5),H1119,0)*VLOOKUP(D1119,'报价表-配送'!$B$91:$I$95,4,0)*1000+IF(AND(MOD(H1119,30)&lt;0.5,MOD(H1119,30)&gt;=0.02),H1119,0)*VLOOKUP(D1119,'报价表-配送'!$B$91:$I$95,3,0)*1000+IF(AND(MOD(H1119,30)&lt;0.02),H1119,0)*VLOOKUP(D1119,'报价表-配送'!$B$91:$I$95,2,0)*1000</f>
        <v>0</v>
      </c>
      <c r="N1119" s="38">
        <f t="shared" si="17"/>
        <v>0</v>
      </c>
    </row>
    <row r="1120" spans="1:14" x14ac:dyDescent="0.25">
      <c r="A1120" t="s">
        <v>125</v>
      </c>
      <c r="B1120" s="43" t="s">
        <v>128</v>
      </c>
      <c r="C1120" s="62">
        <f>VLOOKUP(B1120,合并仓明细!$D$2:$F$74,3,0)</f>
        <v>49</v>
      </c>
      <c r="D1120" t="s">
        <v>393</v>
      </c>
      <c r="E1120" s="43" t="s">
        <v>300</v>
      </c>
      <c r="F1120" t="s">
        <v>66</v>
      </c>
      <c r="G1120" s="42">
        <v>402.245</v>
      </c>
      <c r="H1120">
        <v>0.40224500000000002</v>
      </c>
      <c r="K1120" s="1"/>
      <c r="L1120" s="37">
        <f>IF(H1120&gt;30,QUOTIENT(H1120,30)*VLOOKUP(D1120,'报价表-配送'!$B$91:$I$95,8,0),0)+IF(AND(MOD(H1120,30)&gt;18,MOD(H1120,30)&lt;=30),1,0)*VLOOKUP(D1120,'报价表-配送'!$B$91:$I$95,8,0)+IF(AND(MOD(H1120,30)&gt;8,MOD(H1120,30)&lt;=18),1*VLOOKUP(D1120,'报价表-配送'!$B$91:$I$95,7,0),0)+IF(AND(MOD(H1120,30)&lt;=8,MOD(H1120,30)&gt;2.5),1,0)*VLOOKUP(D1120,'报价表-配送'!$B$91:$I$95,6,0)+IF(AND(MOD(H1120,30)&lt;=2.5,MOD(H1120,30)&gt;=1.5),1,0)*VLOOKUP(D1120,'报价表-配送'!$B$91:$I$95,5,0)</f>
        <v>0</v>
      </c>
      <c r="M1120" s="39">
        <f>IF(AND(MOD(H1120,30)&lt;1.5,MOD(H1120,30)&gt;=0.5),H1120,0)*VLOOKUP(D1120,'报价表-配送'!$B$91:$I$95,4,0)*1000+IF(AND(MOD(H1120,30)&lt;0.5,MOD(H1120,30)&gt;=0.02),H1120,0)*VLOOKUP(D1120,'报价表-配送'!$B$91:$I$95,3,0)*1000+IF(AND(MOD(H1120,30)&lt;0.02),H1120,0)*VLOOKUP(D1120,'报价表-配送'!$B$91:$I$95,2,0)*1000</f>
        <v>0</v>
      </c>
      <c r="N1120" s="38">
        <f t="shared" si="17"/>
        <v>0</v>
      </c>
    </row>
    <row r="1121" spans="1:14" x14ac:dyDescent="0.25">
      <c r="A1121" t="s">
        <v>125</v>
      </c>
      <c r="B1121" s="43" t="s">
        <v>128</v>
      </c>
      <c r="C1121" s="62">
        <f>VLOOKUP(B1121,合并仓明细!$D$2:$F$74,3,0)</f>
        <v>49</v>
      </c>
      <c r="D1121" t="s">
        <v>393</v>
      </c>
      <c r="E1121" s="43" t="s">
        <v>301</v>
      </c>
      <c r="F1121" t="s">
        <v>66</v>
      </c>
      <c r="G1121" s="42">
        <v>135.67666666999997</v>
      </c>
      <c r="H1121">
        <v>0.13567666666999997</v>
      </c>
      <c r="K1121" s="1"/>
      <c r="L1121" s="37">
        <f>IF(H1121&gt;30,QUOTIENT(H1121,30)*VLOOKUP(D1121,'报价表-配送'!$B$91:$I$95,8,0),0)+IF(AND(MOD(H1121,30)&gt;18,MOD(H1121,30)&lt;=30),1,0)*VLOOKUP(D1121,'报价表-配送'!$B$91:$I$95,8,0)+IF(AND(MOD(H1121,30)&gt;8,MOD(H1121,30)&lt;=18),1*VLOOKUP(D1121,'报价表-配送'!$B$91:$I$95,7,0),0)+IF(AND(MOD(H1121,30)&lt;=8,MOD(H1121,30)&gt;2.5),1,0)*VLOOKUP(D1121,'报价表-配送'!$B$91:$I$95,6,0)+IF(AND(MOD(H1121,30)&lt;=2.5,MOD(H1121,30)&gt;=1.5),1,0)*VLOOKUP(D1121,'报价表-配送'!$B$91:$I$95,5,0)</f>
        <v>0</v>
      </c>
      <c r="M1121" s="39">
        <f>IF(AND(MOD(H1121,30)&lt;1.5,MOD(H1121,30)&gt;=0.5),H1121,0)*VLOOKUP(D1121,'报价表-配送'!$B$91:$I$95,4,0)*1000+IF(AND(MOD(H1121,30)&lt;0.5,MOD(H1121,30)&gt;=0.02),H1121,0)*VLOOKUP(D1121,'报价表-配送'!$B$91:$I$95,3,0)*1000+IF(AND(MOD(H1121,30)&lt;0.02),H1121,0)*VLOOKUP(D1121,'报价表-配送'!$B$91:$I$95,2,0)*1000</f>
        <v>0</v>
      </c>
      <c r="N1121" s="38">
        <f t="shared" si="17"/>
        <v>0</v>
      </c>
    </row>
    <row r="1122" spans="1:14" x14ac:dyDescent="0.25">
      <c r="A1122" t="s">
        <v>125</v>
      </c>
      <c r="B1122" s="43" t="s">
        <v>128</v>
      </c>
      <c r="C1122" s="62">
        <f>VLOOKUP(B1122,合并仓明细!$D$2:$F$74,3,0)</f>
        <v>49</v>
      </c>
      <c r="D1122" t="s">
        <v>393</v>
      </c>
      <c r="E1122" s="43" t="s">
        <v>321</v>
      </c>
      <c r="F1122" t="s">
        <v>68</v>
      </c>
      <c r="G1122" s="42">
        <v>78.552000000000007</v>
      </c>
      <c r="H1122">
        <v>50.557921942</v>
      </c>
      <c r="I1122" s="46">
        <f>ROUNDUP(H1122/30,0)*VLOOKUP(D1122,'报价表-配送'!$B$91:$I$95,8,0)</f>
        <v>0</v>
      </c>
      <c r="J1122" s="38"/>
      <c r="K1122" s="38"/>
      <c r="L1122" s="37"/>
      <c r="M1122" s="37"/>
      <c r="N1122" s="38">
        <f t="shared" si="17"/>
        <v>0</v>
      </c>
    </row>
    <row r="1123" spans="1:14" x14ac:dyDescent="0.25">
      <c r="A1123" t="s">
        <v>125</v>
      </c>
      <c r="B1123" s="43" t="s">
        <v>128</v>
      </c>
      <c r="C1123" s="62">
        <f>VLOOKUP(B1123,合并仓明细!$D$2:$F$74,3,0)</f>
        <v>49</v>
      </c>
      <c r="D1123" t="s">
        <v>393</v>
      </c>
      <c r="E1123" s="43" t="s">
        <v>321</v>
      </c>
      <c r="F1123" t="s">
        <v>67</v>
      </c>
      <c r="G1123" s="42">
        <v>49899.489942</v>
      </c>
      <c r="H1123"/>
      <c r="K1123" s="1"/>
      <c r="L1123" s="33"/>
      <c r="M1123" s="1"/>
      <c r="N1123" s="38">
        <f t="shared" si="17"/>
        <v>0</v>
      </c>
    </row>
    <row r="1124" spans="1:14" x14ac:dyDescent="0.25">
      <c r="A1124" t="s">
        <v>125</v>
      </c>
      <c r="B1124" s="43" t="s">
        <v>128</v>
      </c>
      <c r="C1124" s="62">
        <f>VLOOKUP(B1124,合并仓明细!$D$2:$F$74,3,0)</f>
        <v>49</v>
      </c>
      <c r="D1124" t="s">
        <v>393</v>
      </c>
      <c r="E1124" s="43" t="s">
        <v>321</v>
      </c>
      <c r="F1124" t="s">
        <v>66</v>
      </c>
      <c r="G1124" s="42">
        <v>579.88</v>
      </c>
      <c r="H1124"/>
      <c r="I1124" s="38"/>
      <c r="J1124" s="38"/>
      <c r="K1124" s="38"/>
      <c r="L1124" s="37"/>
      <c r="M1124" s="37"/>
      <c r="N1124" s="38">
        <f t="shared" si="17"/>
        <v>0</v>
      </c>
    </row>
    <row r="1125" spans="1:14" x14ac:dyDescent="0.25">
      <c r="A1125" t="s">
        <v>125</v>
      </c>
      <c r="B1125" s="43" t="s">
        <v>128</v>
      </c>
      <c r="C1125" s="62">
        <f>VLOOKUP(B1125,合并仓明细!$D$2:$F$74,3,0)</f>
        <v>49</v>
      </c>
      <c r="D1125" t="s">
        <v>393</v>
      </c>
      <c r="E1125" s="43" t="s">
        <v>252</v>
      </c>
      <c r="F1125" t="s">
        <v>67</v>
      </c>
      <c r="G1125" s="42">
        <v>5715.3824999999997</v>
      </c>
      <c r="H1125">
        <v>6.1203424999899996</v>
      </c>
      <c r="I1125" s="38">
        <f>IF(H1125&gt;30,QUOTIENT(H1125,30)*VLOOKUP(D1125,'报价表-配送'!$B$91:$I$95,8,0),0)+IF(AND(MOD(H1125,30)&gt;18,MOD(H1125,30)&lt;=30),1,0)*VLOOKUP(D1125,'报价表-配送'!$B$91:$I$95,8,0)</f>
        <v>0</v>
      </c>
      <c r="J1125" s="38">
        <f>IF(AND(MOD(H1125,30)&gt;8,MOD(H1125,30)&lt;=18),1*VLOOKUP(D1125,'报价表-配送'!$B$91:$I$95,7,0),0)</f>
        <v>0</v>
      </c>
      <c r="K1125" s="38">
        <f>IF(AND(MOD(H1125,30)&lt;=8,MOD(H1125,30)&gt;0),1,0)*VLOOKUP(D1125,'报价表-配送'!$B$91:$I$95,6,0)</f>
        <v>0</v>
      </c>
      <c r="L1125" s="33"/>
      <c r="M1125" s="1"/>
      <c r="N1125" s="38">
        <f t="shared" si="17"/>
        <v>0</v>
      </c>
    </row>
    <row r="1126" spans="1:14" x14ac:dyDescent="0.25">
      <c r="A1126" t="s">
        <v>125</v>
      </c>
      <c r="B1126" s="43" t="s">
        <v>128</v>
      </c>
      <c r="C1126" s="62">
        <f>VLOOKUP(B1126,合并仓明细!$D$2:$F$74,3,0)</f>
        <v>49</v>
      </c>
      <c r="D1126" t="s">
        <v>393</v>
      </c>
      <c r="E1126" s="43" t="s">
        <v>252</v>
      </c>
      <c r="F1126" t="s">
        <v>66</v>
      </c>
      <c r="G1126" s="42">
        <v>404.95999998999997</v>
      </c>
      <c r="H1126"/>
      <c r="I1126" s="46"/>
      <c r="J1126" s="61"/>
      <c r="K1126" s="61"/>
      <c r="L1126" s="60"/>
      <c r="M1126" s="60"/>
      <c r="N1126" s="38">
        <f t="shared" si="17"/>
        <v>0</v>
      </c>
    </row>
    <row r="1127" spans="1:14" x14ac:dyDescent="0.25">
      <c r="A1127" t="s">
        <v>125</v>
      </c>
      <c r="B1127" s="43" t="s">
        <v>128</v>
      </c>
      <c r="C1127" s="62">
        <f>VLOOKUP(B1127,合并仓明细!$D$2:$F$74,3,0)</f>
        <v>49</v>
      </c>
      <c r="D1127" t="s">
        <v>393</v>
      </c>
      <c r="E1127" s="43" t="s">
        <v>331</v>
      </c>
      <c r="F1127" t="s">
        <v>67</v>
      </c>
      <c r="G1127" s="42">
        <v>983.151927</v>
      </c>
      <c r="H1127">
        <v>0.98315192699999998</v>
      </c>
      <c r="I1127" s="38">
        <f>IF(H1127&gt;30,QUOTIENT(H1127,30)*VLOOKUP(D1127,'报价表-配送'!$B$91:$I$95,8,0),0)+IF(AND(MOD(H1127,30)&gt;18,MOD(H1127,30)&lt;=30),1,0)*VLOOKUP(D1127,'报价表-配送'!$B$91:$I$95,8,0)</f>
        <v>0</v>
      </c>
      <c r="J1127" s="38">
        <f>IF(AND(MOD(H1127,30)&gt;8,MOD(H1127,30)&lt;=18),1*VLOOKUP(D1127,'报价表-配送'!$B$91:$I$95,7,0),0)</f>
        <v>0</v>
      </c>
      <c r="K1127" s="38">
        <f>IF(AND(MOD(H1127,30)&lt;=8,MOD(H1127,30)&gt;0),1,0)*VLOOKUP(D1127,'报价表-配送'!$B$91:$I$95,6,0)</f>
        <v>0</v>
      </c>
      <c r="L1127" s="33"/>
      <c r="M1127" s="1"/>
      <c r="N1127" s="38">
        <f t="shared" si="17"/>
        <v>0</v>
      </c>
    </row>
    <row r="1128" spans="1:14" x14ac:dyDescent="0.25">
      <c r="A1128" t="s">
        <v>125</v>
      </c>
      <c r="B1128" s="43" t="s">
        <v>128</v>
      </c>
      <c r="C1128" s="62">
        <f>VLOOKUP(B1128,合并仓明细!$D$2:$F$74,3,0)</f>
        <v>49</v>
      </c>
      <c r="D1128" t="s">
        <v>393</v>
      </c>
      <c r="E1128" s="43" t="s">
        <v>254</v>
      </c>
      <c r="F1128" t="s">
        <v>66</v>
      </c>
      <c r="G1128" s="42">
        <v>73.760000000000005</v>
      </c>
      <c r="H1128">
        <v>7.3760000000000006E-2</v>
      </c>
      <c r="K1128" s="1"/>
      <c r="L1128" s="37">
        <f>IF(H1128&gt;30,QUOTIENT(H1128,30)*VLOOKUP(D1128,'报价表-配送'!$B$91:$I$95,8,0),0)+IF(AND(MOD(H1128,30)&gt;18,MOD(H1128,30)&lt;=30),1,0)*VLOOKUP(D1128,'报价表-配送'!$B$91:$I$95,8,0)+IF(AND(MOD(H1128,30)&gt;8,MOD(H1128,30)&lt;=18),1*VLOOKUP(D1128,'报价表-配送'!$B$91:$I$95,7,0),0)+IF(AND(MOD(H1128,30)&lt;=8,MOD(H1128,30)&gt;2.5),1,0)*VLOOKUP(D1128,'报价表-配送'!$B$91:$I$95,6,0)+IF(AND(MOD(H1128,30)&lt;=2.5,MOD(H1128,30)&gt;=1.5),1,0)*VLOOKUP(D1128,'报价表-配送'!$B$91:$I$95,5,0)</f>
        <v>0</v>
      </c>
      <c r="M1128" s="39">
        <f>IF(AND(MOD(H1128,30)&lt;1.5,MOD(H1128,30)&gt;=0.5),H1128,0)*VLOOKUP(D1128,'报价表-配送'!$B$91:$I$95,4,0)*1000+IF(AND(MOD(H1128,30)&lt;0.5,MOD(H1128,30)&gt;=0.02),H1128,0)*VLOOKUP(D1128,'报价表-配送'!$B$91:$I$95,3,0)*1000+IF(AND(MOD(H1128,30)&lt;0.02),H1128,0)*VLOOKUP(D1128,'报价表-配送'!$B$91:$I$95,2,0)*1000</f>
        <v>0</v>
      </c>
      <c r="N1128" s="38">
        <f t="shared" si="17"/>
        <v>0</v>
      </c>
    </row>
    <row r="1129" spans="1:14" x14ac:dyDescent="0.25">
      <c r="A1129" t="s">
        <v>125</v>
      </c>
      <c r="B1129" s="43" t="s">
        <v>129</v>
      </c>
      <c r="C1129" s="62">
        <f>VLOOKUP(B1129,合并仓明细!$D$2:$F$74,3,0)</f>
        <v>68</v>
      </c>
      <c r="D1129" t="s">
        <v>393</v>
      </c>
      <c r="E1129" s="43" t="s">
        <v>276</v>
      </c>
      <c r="F1129" t="s">
        <v>68</v>
      </c>
      <c r="G1129" s="42">
        <v>392.76</v>
      </c>
      <c r="H1129">
        <v>16.77881086535</v>
      </c>
      <c r="I1129" s="46">
        <f>ROUNDUP(H1129/30,0)*VLOOKUP(D1129,'报价表-配送'!$B$91:$I$95,8,0)</f>
        <v>0</v>
      </c>
      <c r="J1129" s="61"/>
      <c r="K1129" s="61"/>
      <c r="L1129" s="60"/>
      <c r="M1129" s="60"/>
      <c r="N1129" s="38">
        <f t="shared" si="17"/>
        <v>0</v>
      </c>
    </row>
    <row r="1130" spans="1:14" x14ac:dyDescent="0.25">
      <c r="A1130" t="s">
        <v>125</v>
      </c>
      <c r="B1130" s="43" t="s">
        <v>129</v>
      </c>
      <c r="C1130" s="62">
        <f>VLOOKUP(B1130,合并仓明细!$D$2:$F$74,3,0)</f>
        <v>68</v>
      </c>
      <c r="D1130" t="s">
        <v>393</v>
      </c>
      <c r="E1130" s="43" t="s">
        <v>276</v>
      </c>
      <c r="F1130" t="s">
        <v>67</v>
      </c>
      <c r="G1130" s="42">
        <v>15454.4694</v>
      </c>
      <c r="H1130"/>
      <c r="K1130" s="1"/>
      <c r="L1130" s="33"/>
      <c r="M1130" s="1"/>
      <c r="N1130" s="38">
        <f t="shared" si="17"/>
        <v>0</v>
      </c>
    </row>
    <row r="1131" spans="1:14" x14ac:dyDescent="0.25">
      <c r="A1131" t="s">
        <v>125</v>
      </c>
      <c r="B1131" s="43" t="s">
        <v>129</v>
      </c>
      <c r="C1131" s="62">
        <f>VLOOKUP(B1131,合并仓明细!$D$2:$F$74,3,0)</f>
        <v>68</v>
      </c>
      <c r="D1131" t="s">
        <v>393</v>
      </c>
      <c r="E1131" s="43" t="s">
        <v>276</v>
      </c>
      <c r="F1131" t="s">
        <v>66</v>
      </c>
      <c r="G1131" s="42">
        <v>931.58146535000003</v>
      </c>
      <c r="H1131"/>
      <c r="K1131" s="1"/>
      <c r="L1131" s="33"/>
      <c r="M1131" s="1"/>
      <c r="N1131" s="38">
        <f t="shared" si="17"/>
        <v>0</v>
      </c>
    </row>
    <row r="1132" spans="1:14" x14ac:dyDescent="0.25">
      <c r="A1132" t="s">
        <v>125</v>
      </c>
      <c r="B1132" s="43" t="s">
        <v>129</v>
      </c>
      <c r="C1132" s="62">
        <f>VLOOKUP(B1132,合并仓明细!$D$2:$F$74,3,0)</f>
        <v>68</v>
      </c>
      <c r="D1132" t="s">
        <v>393</v>
      </c>
      <c r="E1132" s="43" t="s">
        <v>310</v>
      </c>
      <c r="F1132" t="s">
        <v>66</v>
      </c>
      <c r="G1132" s="42">
        <v>638.57399999999996</v>
      </c>
      <c r="H1132">
        <v>0.63857399999999997</v>
      </c>
      <c r="I1132" s="38"/>
      <c r="J1132" s="38"/>
      <c r="K1132" s="38"/>
      <c r="L1132" s="37">
        <f>IF(H1132&gt;30,QUOTIENT(H1132,30)*VLOOKUP(D1132,'报价表-配送'!$B$91:$I$95,8,0),0)+IF(AND(MOD(H1132,30)&gt;18,MOD(H1132,30)&lt;=30),1,0)*VLOOKUP(D1132,'报价表-配送'!$B$91:$I$95,8,0)+IF(AND(MOD(H1132,30)&gt;8,MOD(H1132,30)&lt;=18),1*VLOOKUP(D1132,'报价表-配送'!$B$91:$I$95,7,0),0)+IF(AND(MOD(H1132,30)&lt;=8,MOD(H1132,30)&gt;2.5),1,0)*VLOOKUP(D1132,'报价表-配送'!$B$91:$I$95,6,0)+IF(AND(MOD(H1132,30)&lt;=2.5,MOD(H1132,30)&gt;=1.5),1,0)*VLOOKUP(D1132,'报价表-配送'!$B$91:$I$95,5,0)</f>
        <v>0</v>
      </c>
      <c r="M1132" s="39">
        <f>IF(AND(MOD(H1132,30)&lt;1.5,MOD(H1132,30)&gt;=0.5),H1132,0)*VLOOKUP(D1132,'报价表-配送'!$B$91:$I$95,4,0)*1000+IF(AND(MOD(H1132,30)&lt;0.5,MOD(H1132,30)&gt;=0.02),H1132,0)*VLOOKUP(D1132,'报价表-配送'!$B$91:$I$95,3,0)*1000+IF(AND(MOD(H1132,30)&lt;0.02),H1132,0)*VLOOKUP(D1132,'报价表-配送'!$B$91:$I$95,2,0)*1000</f>
        <v>0</v>
      </c>
      <c r="N1132" s="38">
        <f t="shared" si="17"/>
        <v>0</v>
      </c>
    </row>
    <row r="1133" spans="1:14" x14ac:dyDescent="0.25">
      <c r="A1133" t="s">
        <v>125</v>
      </c>
      <c r="B1133" s="43" t="s">
        <v>129</v>
      </c>
      <c r="C1133" s="62">
        <f>VLOOKUP(B1133,合并仓明细!$D$2:$F$74,3,0)</f>
        <v>68</v>
      </c>
      <c r="D1133" t="s">
        <v>393</v>
      </c>
      <c r="E1133" s="43" t="s">
        <v>279</v>
      </c>
      <c r="F1133" t="s">
        <v>66</v>
      </c>
      <c r="G1133" s="42">
        <v>1604.355</v>
      </c>
      <c r="H1133">
        <v>1.604355</v>
      </c>
      <c r="K1133" s="1"/>
      <c r="L1133" s="37">
        <f>IF(H1133&gt;30,QUOTIENT(H1133,30)*VLOOKUP(D1133,'报价表-配送'!$B$91:$I$95,8,0),0)+IF(AND(MOD(H1133,30)&gt;18,MOD(H1133,30)&lt;=30),1,0)*VLOOKUP(D1133,'报价表-配送'!$B$91:$I$95,8,0)+IF(AND(MOD(H1133,30)&gt;8,MOD(H1133,30)&lt;=18),1*VLOOKUP(D1133,'报价表-配送'!$B$91:$I$95,7,0),0)+IF(AND(MOD(H1133,30)&lt;=8,MOD(H1133,30)&gt;2.5),1,0)*VLOOKUP(D1133,'报价表-配送'!$B$91:$I$95,6,0)+IF(AND(MOD(H1133,30)&lt;=2.5,MOD(H1133,30)&gt;=1.5),1,0)*VLOOKUP(D1133,'报价表-配送'!$B$91:$I$95,5,0)</f>
        <v>0</v>
      </c>
      <c r="M1133" s="39">
        <f>IF(AND(MOD(H1133,30)&lt;1.5,MOD(H1133,30)&gt;=0.5),H1133,0)*VLOOKUP(D1133,'报价表-配送'!$B$91:$I$95,4,0)*1000+IF(AND(MOD(H1133,30)&lt;0.5,MOD(H1133,30)&gt;=0.02),H1133,0)*VLOOKUP(D1133,'报价表-配送'!$B$91:$I$95,3,0)*1000+IF(AND(MOD(H1133,30)&lt;0.02),H1133,0)*VLOOKUP(D1133,'报价表-配送'!$B$91:$I$95,2,0)*1000</f>
        <v>0</v>
      </c>
      <c r="N1133" s="38">
        <f t="shared" si="17"/>
        <v>0</v>
      </c>
    </row>
    <row r="1134" spans="1:14" x14ac:dyDescent="0.25">
      <c r="A1134" t="s">
        <v>125</v>
      </c>
      <c r="B1134" s="43" t="s">
        <v>129</v>
      </c>
      <c r="C1134" s="62">
        <f>VLOOKUP(B1134,合并仓明细!$D$2:$F$74,3,0)</f>
        <v>68</v>
      </c>
      <c r="D1134" t="s">
        <v>393</v>
      </c>
      <c r="E1134" s="43" t="s">
        <v>349</v>
      </c>
      <c r="F1134" t="s">
        <v>68</v>
      </c>
      <c r="G1134" s="42">
        <v>523.67999999999995</v>
      </c>
      <c r="H1134">
        <v>1.1871318799999999</v>
      </c>
      <c r="I1134" s="46">
        <f>ROUNDUP(H1134/30,0)*VLOOKUP(D1134,'报价表-配送'!$B$91:$I$95,8,0)</f>
        <v>0</v>
      </c>
      <c r="J1134" s="38"/>
      <c r="K1134" s="38"/>
      <c r="L1134" s="37"/>
      <c r="M1134" s="37"/>
      <c r="N1134" s="38">
        <f t="shared" si="17"/>
        <v>0</v>
      </c>
    </row>
    <row r="1135" spans="1:14" x14ac:dyDescent="0.25">
      <c r="A1135" t="s">
        <v>125</v>
      </c>
      <c r="B1135" s="43" t="s">
        <v>129</v>
      </c>
      <c r="C1135" s="62">
        <f>VLOOKUP(B1135,合并仓明细!$D$2:$F$74,3,0)</f>
        <v>68</v>
      </c>
      <c r="D1135" t="s">
        <v>393</v>
      </c>
      <c r="E1135" s="43" t="s">
        <v>349</v>
      </c>
      <c r="F1135" t="s">
        <v>67</v>
      </c>
      <c r="G1135" s="42">
        <v>656.98187999999993</v>
      </c>
      <c r="H1135"/>
      <c r="K1135" s="1"/>
      <c r="L1135" s="33"/>
      <c r="M1135" s="1"/>
      <c r="N1135" s="38">
        <f t="shared" si="17"/>
        <v>0</v>
      </c>
    </row>
    <row r="1136" spans="1:14" x14ac:dyDescent="0.25">
      <c r="A1136" t="s">
        <v>125</v>
      </c>
      <c r="B1136" s="43" t="s">
        <v>129</v>
      </c>
      <c r="C1136" s="62">
        <f>VLOOKUP(B1136,合并仓明细!$D$2:$F$74,3,0)</f>
        <v>68</v>
      </c>
      <c r="D1136" t="s">
        <v>393</v>
      </c>
      <c r="E1136" s="43" t="s">
        <v>349</v>
      </c>
      <c r="F1136" t="s">
        <v>66</v>
      </c>
      <c r="G1136" s="42">
        <v>6.47</v>
      </c>
      <c r="H1136"/>
      <c r="I1136" s="46"/>
      <c r="J1136" s="61"/>
      <c r="K1136" s="61"/>
      <c r="L1136" s="60"/>
      <c r="M1136" s="60"/>
      <c r="N1136" s="38">
        <f t="shared" si="17"/>
        <v>0</v>
      </c>
    </row>
    <row r="1137" spans="1:14" x14ac:dyDescent="0.25">
      <c r="A1137" t="s">
        <v>125</v>
      </c>
      <c r="B1137" s="43" t="s">
        <v>129</v>
      </c>
      <c r="C1137" s="62">
        <f>VLOOKUP(B1137,合并仓明细!$D$2:$F$74,3,0)</f>
        <v>68</v>
      </c>
      <c r="D1137" t="s">
        <v>393</v>
      </c>
      <c r="E1137" s="43" t="s">
        <v>292</v>
      </c>
      <c r="F1137" t="s">
        <v>67</v>
      </c>
      <c r="G1137" s="42">
        <v>189.666371</v>
      </c>
      <c r="H1137">
        <v>0.21166637099999999</v>
      </c>
      <c r="I1137" s="38">
        <f>IF(H1137&gt;30,QUOTIENT(H1137,30)*VLOOKUP(D1137,'报价表-配送'!$B$91:$I$95,8,0),0)+IF(AND(MOD(H1137,30)&gt;18,MOD(H1137,30)&lt;=30),1,0)*VLOOKUP(D1137,'报价表-配送'!$B$91:$I$95,8,0)</f>
        <v>0</v>
      </c>
      <c r="J1137" s="38">
        <f>IF(AND(MOD(H1137,30)&gt;8,MOD(H1137,30)&lt;=18),1*VLOOKUP(D1137,'报价表-配送'!$B$91:$I$95,7,0),0)</f>
        <v>0</v>
      </c>
      <c r="K1137" s="38">
        <f>IF(AND(MOD(H1137,30)&lt;=8,MOD(H1137,30)&gt;0),1,0)*VLOOKUP(D1137,'报价表-配送'!$B$91:$I$95,6,0)</f>
        <v>0</v>
      </c>
      <c r="L1137" s="33"/>
      <c r="M1137" s="1"/>
      <c r="N1137" s="38">
        <f t="shared" si="17"/>
        <v>0</v>
      </c>
    </row>
    <row r="1138" spans="1:14" x14ac:dyDescent="0.25">
      <c r="A1138" t="s">
        <v>125</v>
      </c>
      <c r="B1138" s="43" t="s">
        <v>129</v>
      </c>
      <c r="C1138" s="62">
        <f>VLOOKUP(B1138,合并仓明细!$D$2:$F$74,3,0)</f>
        <v>68</v>
      </c>
      <c r="D1138" t="s">
        <v>393</v>
      </c>
      <c r="E1138" s="43" t="s">
        <v>292</v>
      </c>
      <c r="F1138" t="s">
        <v>66</v>
      </c>
      <c r="G1138" s="42">
        <v>22</v>
      </c>
      <c r="H1138"/>
      <c r="K1138" s="1"/>
      <c r="L1138" s="33"/>
      <c r="M1138" s="1"/>
      <c r="N1138" s="38">
        <f t="shared" si="17"/>
        <v>0</v>
      </c>
    </row>
    <row r="1139" spans="1:14" x14ac:dyDescent="0.25">
      <c r="A1139" t="s">
        <v>125</v>
      </c>
      <c r="B1139" s="43" t="s">
        <v>129</v>
      </c>
      <c r="C1139" s="62">
        <f>VLOOKUP(B1139,合并仓明细!$D$2:$F$74,3,0)</f>
        <v>68</v>
      </c>
      <c r="D1139" t="s">
        <v>393</v>
      </c>
      <c r="E1139" s="43" t="s">
        <v>249</v>
      </c>
      <c r="F1139" t="s">
        <v>66</v>
      </c>
      <c r="G1139" s="42">
        <v>144</v>
      </c>
      <c r="H1139">
        <v>0.14399999999999999</v>
      </c>
      <c r="I1139" s="46"/>
      <c r="J1139" s="61"/>
      <c r="K1139" s="61"/>
      <c r="L1139" s="37">
        <f>IF(H1139&gt;30,QUOTIENT(H1139,30)*VLOOKUP(D1139,'报价表-配送'!$B$91:$I$95,8,0),0)+IF(AND(MOD(H1139,30)&gt;18,MOD(H1139,30)&lt;=30),1,0)*VLOOKUP(D1139,'报价表-配送'!$B$91:$I$95,8,0)+IF(AND(MOD(H1139,30)&gt;8,MOD(H1139,30)&lt;=18),1*VLOOKUP(D1139,'报价表-配送'!$B$91:$I$95,7,0),0)+IF(AND(MOD(H1139,30)&lt;=8,MOD(H1139,30)&gt;2.5),1,0)*VLOOKUP(D1139,'报价表-配送'!$B$91:$I$95,6,0)+IF(AND(MOD(H1139,30)&lt;=2.5,MOD(H1139,30)&gt;=1.5),1,0)*VLOOKUP(D1139,'报价表-配送'!$B$91:$I$95,5,0)</f>
        <v>0</v>
      </c>
      <c r="M1139" s="39">
        <f>IF(AND(MOD(H1139,30)&lt;1.5,MOD(H1139,30)&gt;=0.5),H1139,0)*VLOOKUP(D1139,'报价表-配送'!$B$91:$I$95,4,0)*1000+IF(AND(MOD(H1139,30)&lt;0.5,MOD(H1139,30)&gt;=0.02),H1139,0)*VLOOKUP(D1139,'报价表-配送'!$B$91:$I$95,3,0)*1000+IF(AND(MOD(H1139,30)&lt;0.02),H1139,0)*VLOOKUP(D1139,'报价表-配送'!$B$91:$I$95,2,0)*1000</f>
        <v>0</v>
      </c>
      <c r="N1139" s="38">
        <f t="shared" si="17"/>
        <v>0</v>
      </c>
    </row>
    <row r="1140" spans="1:14" x14ac:dyDescent="0.25">
      <c r="A1140" t="s">
        <v>125</v>
      </c>
      <c r="B1140" s="43" t="s">
        <v>129</v>
      </c>
      <c r="C1140" s="62">
        <f>VLOOKUP(B1140,合并仓明细!$D$2:$F$74,3,0)</f>
        <v>68</v>
      </c>
      <c r="D1140" t="s">
        <v>393</v>
      </c>
      <c r="E1140" s="43" t="s">
        <v>318</v>
      </c>
      <c r="F1140" t="s">
        <v>66</v>
      </c>
      <c r="G1140" s="42">
        <v>206.58833330000002</v>
      </c>
      <c r="H1140">
        <v>0.20658833330000001</v>
      </c>
      <c r="K1140" s="1"/>
      <c r="L1140" s="37">
        <f>IF(H1140&gt;30,QUOTIENT(H1140,30)*VLOOKUP(D1140,'报价表-配送'!$B$91:$I$95,8,0),0)+IF(AND(MOD(H1140,30)&gt;18,MOD(H1140,30)&lt;=30),1,0)*VLOOKUP(D1140,'报价表-配送'!$B$91:$I$95,8,0)+IF(AND(MOD(H1140,30)&gt;8,MOD(H1140,30)&lt;=18),1*VLOOKUP(D1140,'报价表-配送'!$B$91:$I$95,7,0),0)+IF(AND(MOD(H1140,30)&lt;=8,MOD(H1140,30)&gt;2.5),1,0)*VLOOKUP(D1140,'报价表-配送'!$B$91:$I$95,6,0)+IF(AND(MOD(H1140,30)&lt;=2.5,MOD(H1140,30)&gt;=1.5),1,0)*VLOOKUP(D1140,'报价表-配送'!$B$91:$I$95,5,0)</f>
        <v>0</v>
      </c>
      <c r="M1140" s="39">
        <f>IF(AND(MOD(H1140,30)&lt;1.5,MOD(H1140,30)&gt;=0.5),H1140,0)*VLOOKUP(D1140,'报价表-配送'!$B$91:$I$95,4,0)*1000+IF(AND(MOD(H1140,30)&lt;0.5,MOD(H1140,30)&gt;=0.02),H1140,0)*VLOOKUP(D1140,'报价表-配送'!$B$91:$I$95,3,0)*1000+IF(AND(MOD(H1140,30)&lt;0.02),H1140,0)*VLOOKUP(D1140,'报价表-配送'!$B$91:$I$95,2,0)*1000</f>
        <v>0</v>
      </c>
      <c r="N1140" s="38">
        <f t="shared" si="17"/>
        <v>0</v>
      </c>
    </row>
    <row r="1141" spans="1:14" x14ac:dyDescent="0.25">
      <c r="A1141" t="s">
        <v>125</v>
      </c>
      <c r="B1141" s="43" t="s">
        <v>129</v>
      </c>
      <c r="C1141" s="62">
        <f>VLOOKUP(B1141,合并仓明细!$D$2:$F$74,3,0)</f>
        <v>68</v>
      </c>
      <c r="D1141" t="s">
        <v>393</v>
      </c>
      <c r="E1141" s="43" t="s">
        <v>321</v>
      </c>
      <c r="F1141" t="s">
        <v>67</v>
      </c>
      <c r="G1141" s="42">
        <v>1074.9564</v>
      </c>
      <c r="H1141">
        <v>1.1096730666700001</v>
      </c>
      <c r="I1141" s="38">
        <f>IF(H1141&gt;30,QUOTIENT(H1141,30)*VLOOKUP(D1141,'报价表-配送'!$B$91:$I$95,8,0),0)+IF(AND(MOD(H1141,30)&gt;18,MOD(H1141,30)&lt;=30),1,0)*VLOOKUP(D1141,'报价表-配送'!$B$91:$I$95,8,0)</f>
        <v>0</v>
      </c>
      <c r="J1141" s="38">
        <f>IF(AND(MOD(H1141,30)&gt;8,MOD(H1141,30)&lt;=18),1*VLOOKUP(D1141,'报价表-配送'!$B$91:$I$95,7,0),0)</f>
        <v>0</v>
      </c>
      <c r="K1141" s="38">
        <f>IF(AND(MOD(H1141,30)&lt;=8,MOD(H1141,30)&gt;0),1,0)*VLOOKUP(D1141,'报价表-配送'!$B$91:$I$95,6,0)</f>
        <v>0</v>
      </c>
      <c r="L1141" s="33"/>
      <c r="M1141" s="1"/>
      <c r="N1141" s="38">
        <f t="shared" si="17"/>
        <v>0</v>
      </c>
    </row>
    <row r="1142" spans="1:14" x14ac:dyDescent="0.25">
      <c r="A1142" t="s">
        <v>125</v>
      </c>
      <c r="B1142" s="45" t="s">
        <v>129</v>
      </c>
      <c r="C1142" s="62">
        <f>VLOOKUP(B1142,合并仓明细!$D$2:$F$74,3,0)</f>
        <v>68</v>
      </c>
      <c r="D1142" t="s">
        <v>393</v>
      </c>
      <c r="E1142" s="43" t="s">
        <v>321</v>
      </c>
      <c r="F1142" t="s">
        <v>66</v>
      </c>
      <c r="G1142" s="42">
        <v>34.716666670000002</v>
      </c>
      <c r="H1142"/>
      <c r="K1142" s="1"/>
      <c r="L1142" s="37"/>
      <c r="M1142" s="39"/>
      <c r="N1142" s="38">
        <f t="shared" si="17"/>
        <v>0</v>
      </c>
    </row>
    <row r="1143" spans="1:14" x14ac:dyDescent="0.25">
      <c r="A1143" t="s">
        <v>125</v>
      </c>
      <c r="B1143" s="44" t="s">
        <v>129</v>
      </c>
      <c r="C1143" s="62">
        <f>VLOOKUP(B1143,合并仓明细!$D$2:$F$74,3,0)</f>
        <v>68</v>
      </c>
      <c r="D1143" t="s">
        <v>393</v>
      </c>
      <c r="E1143" s="43" t="s">
        <v>252</v>
      </c>
      <c r="F1143" t="s">
        <v>66</v>
      </c>
      <c r="G1143" s="42">
        <v>18.489999999999998</v>
      </c>
      <c r="H1143">
        <v>1.8489999999999999E-2</v>
      </c>
      <c r="K1143" s="1"/>
      <c r="L1143" s="37">
        <f>IF(H1143&gt;30,QUOTIENT(H1143,30)*VLOOKUP(D1143,'报价表-配送'!$B$91:$I$95,8,0),0)+IF(AND(MOD(H1143,30)&gt;18,MOD(H1143,30)&lt;=30),1,0)*VLOOKUP(D1143,'报价表-配送'!$B$91:$I$95,8,0)+IF(AND(MOD(H1143,30)&gt;8,MOD(H1143,30)&lt;=18),1*VLOOKUP(D1143,'报价表-配送'!$B$91:$I$95,7,0),0)+IF(AND(MOD(H1143,30)&lt;=8,MOD(H1143,30)&gt;2.5),1,0)*VLOOKUP(D1143,'报价表-配送'!$B$91:$I$95,6,0)+IF(AND(MOD(H1143,30)&lt;=2.5,MOD(H1143,30)&gt;=1.5),1,0)*VLOOKUP(D1143,'报价表-配送'!$B$91:$I$95,5,0)</f>
        <v>0</v>
      </c>
      <c r="M1143" s="39">
        <f>IF(AND(MOD(H1143,30)&lt;1.5,MOD(H1143,30)&gt;=0.5),H1143,0)*VLOOKUP(D1143,'报价表-配送'!$B$91:$I$95,4,0)*1000+IF(AND(MOD(H1143,30)&lt;0.5,MOD(H1143,30)&gt;=0.02),H1143,0)*VLOOKUP(D1143,'报价表-配送'!$B$91:$I$95,3,0)*1000+IF(AND(MOD(H1143,30)&lt;0.02),H1143,0)*VLOOKUP(D1143,'报价表-配送'!$B$91:$I$95,2,0)*1000</f>
        <v>0</v>
      </c>
      <c r="N1143" s="38">
        <f t="shared" si="17"/>
        <v>0</v>
      </c>
    </row>
    <row r="1144" spans="1:14" x14ac:dyDescent="0.25">
      <c r="A1144" t="s">
        <v>125</v>
      </c>
      <c r="B1144" s="43" t="s">
        <v>567</v>
      </c>
      <c r="C1144" s="62">
        <f>VLOOKUP(B1144,合并仓明细!$D$2:$F$74,3,0)</f>
        <v>44</v>
      </c>
      <c r="D1144" t="s">
        <v>393</v>
      </c>
      <c r="E1144" s="43" t="s">
        <v>351</v>
      </c>
      <c r="F1144" t="s">
        <v>66</v>
      </c>
      <c r="G1144" s="42">
        <v>117.92916667000001</v>
      </c>
      <c r="H1144">
        <v>0.11792916667000002</v>
      </c>
      <c r="K1144" s="1"/>
      <c r="L1144" s="37">
        <f>IF(H1144&gt;30,QUOTIENT(H1144,30)*VLOOKUP(D1144,'报价表-配送'!$B$91:$I$95,8,0),0)+IF(AND(MOD(H1144,30)&gt;18,MOD(H1144,30)&lt;=30),1,0)*VLOOKUP(D1144,'报价表-配送'!$B$91:$I$95,8,0)+IF(AND(MOD(H1144,30)&gt;8,MOD(H1144,30)&lt;=18),1*VLOOKUP(D1144,'报价表-配送'!$B$91:$I$95,7,0),0)+IF(AND(MOD(H1144,30)&lt;=8,MOD(H1144,30)&gt;2.5),1,0)*VLOOKUP(D1144,'报价表-配送'!$B$91:$I$95,6,0)+IF(AND(MOD(H1144,30)&lt;=2.5,MOD(H1144,30)&gt;=1.5),1,0)*VLOOKUP(D1144,'报价表-配送'!$B$91:$I$95,5,0)</f>
        <v>0</v>
      </c>
      <c r="M1144" s="39">
        <f>IF(AND(MOD(H1144,30)&lt;1.5,MOD(H1144,30)&gt;=0.5),H1144,0)*VLOOKUP(D1144,'报价表-配送'!$B$91:$I$95,4,0)*1000+IF(AND(MOD(H1144,30)&lt;0.5,MOD(H1144,30)&gt;=0.02),H1144,0)*VLOOKUP(D1144,'报价表-配送'!$B$91:$I$95,3,0)*1000+IF(AND(MOD(H1144,30)&lt;0.02),H1144,0)*VLOOKUP(D1144,'报价表-配送'!$B$91:$I$95,2,0)*1000</f>
        <v>0</v>
      </c>
      <c r="N1144" s="38">
        <f t="shared" si="17"/>
        <v>0</v>
      </c>
    </row>
    <row r="1145" spans="1:14" x14ac:dyDescent="0.25">
      <c r="A1145" t="s">
        <v>125</v>
      </c>
      <c r="B1145" s="43" t="s">
        <v>125</v>
      </c>
      <c r="C1145" s="62">
        <f>VLOOKUP(B1145,合并仓明细!$D$2:$F$74,3,0)</f>
        <v>44</v>
      </c>
      <c r="D1145" t="s">
        <v>393</v>
      </c>
      <c r="E1145" s="43" t="s">
        <v>276</v>
      </c>
      <c r="F1145" t="s">
        <v>68</v>
      </c>
      <c r="G1145" s="42">
        <v>205.30511999999999</v>
      </c>
      <c r="H1145">
        <v>2.3515774718900002</v>
      </c>
      <c r="I1145" s="46">
        <f>ROUNDUP(H1145/30,0)*VLOOKUP(D1145,'报价表-配送'!$B$91:$I$95,8,0)</f>
        <v>0</v>
      </c>
      <c r="K1145" s="1"/>
      <c r="L1145" s="33"/>
      <c r="M1145" s="1"/>
      <c r="N1145" s="38">
        <f t="shared" si="17"/>
        <v>0</v>
      </c>
    </row>
    <row r="1146" spans="1:14" x14ac:dyDescent="0.25">
      <c r="A1146" t="s">
        <v>125</v>
      </c>
      <c r="B1146" s="43" t="s">
        <v>125</v>
      </c>
      <c r="C1146" s="62">
        <f>VLOOKUP(B1146,合并仓明细!$D$2:$F$74,3,0)</f>
        <v>44</v>
      </c>
      <c r="D1146" t="s">
        <v>393</v>
      </c>
      <c r="E1146" s="43" t="s">
        <v>276</v>
      </c>
      <c r="F1146" t="s">
        <v>67</v>
      </c>
      <c r="G1146" s="42">
        <v>1541.5792080000001</v>
      </c>
      <c r="H1146"/>
      <c r="K1146" s="1"/>
      <c r="L1146" s="33"/>
      <c r="M1146" s="1"/>
      <c r="N1146" s="38">
        <f t="shared" si="17"/>
        <v>0</v>
      </c>
    </row>
    <row r="1147" spans="1:14" x14ac:dyDescent="0.25">
      <c r="A1147" t="s">
        <v>125</v>
      </c>
      <c r="B1147" s="43" t="s">
        <v>125</v>
      </c>
      <c r="C1147" s="62">
        <f>VLOOKUP(B1147,合并仓明细!$D$2:$F$74,3,0)</f>
        <v>44</v>
      </c>
      <c r="D1147" t="s">
        <v>393</v>
      </c>
      <c r="E1147" s="43" t="s">
        <v>276</v>
      </c>
      <c r="F1147" t="s">
        <v>66</v>
      </c>
      <c r="G1147" s="42">
        <v>604.69314388999999</v>
      </c>
      <c r="H1147"/>
      <c r="K1147" s="1"/>
      <c r="L1147" s="33"/>
      <c r="M1147" s="1"/>
      <c r="N1147" s="38">
        <f t="shared" si="17"/>
        <v>0</v>
      </c>
    </row>
    <row r="1148" spans="1:14" x14ac:dyDescent="0.25">
      <c r="A1148" t="s">
        <v>125</v>
      </c>
      <c r="B1148" s="43" t="s">
        <v>125</v>
      </c>
      <c r="C1148" s="62">
        <f>VLOOKUP(B1148,合并仓明细!$D$2:$F$74,3,0)</f>
        <v>44</v>
      </c>
      <c r="D1148" t="s">
        <v>393</v>
      </c>
      <c r="E1148" s="43" t="s">
        <v>279</v>
      </c>
      <c r="F1148" t="s">
        <v>66</v>
      </c>
      <c r="G1148" s="42">
        <v>130.14500000000001</v>
      </c>
      <c r="H1148">
        <v>0.13014500000000001</v>
      </c>
      <c r="K1148" s="1"/>
      <c r="L1148" s="37">
        <f>IF(H1148&gt;30,QUOTIENT(H1148,30)*VLOOKUP(D1148,'报价表-配送'!$B$91:$I$95,8,0),0)+IF(AND(MOD(H1148,30)&gt;18,MOD(H1148,30)&lt;=30),1,0)*VLOOKUP(D1148,'报价表-配送'!$B$91:$I$95,8,0)+IF(AND(MOD(H1148,30)&gt;8,MOD(H1148,30)&lt;=18),1*VLOOKUP(D1148,'报价表-配送'!$B$91:$I$95,7,0),0)+IF(AND(MOD(H1148,30)&lt;=8,MOD(H1148,30)&gt;2.5),1,0)*VLOOKUP(D1148,'报价表-配送'!$B$91:$I$95,6,0)+IF(AND(MOD(H1148,30)&lt;=2.5,MOD(H1148,30)&gt;=1.5),1,0)*VLOOKUP(D1148,'报价表-配送'!$B$91:$I$95,5,0)</f>
        <v>0</v>
      </c>
      <c r="M1148" s="39">
        <f>IF(AND(MOD(H1148,30)&lt;1.5,MOD(H1148,30)&gt;=0.5),H1148,0)*VLOOKUP(D1148,'报价表-配送'!$B$91:$I$95,4,0)*1000+IF(AND(MOD(H1148,30)&lt;0.5,MOD(H1148,30)&gt;=0.02),H1148,0)*VLOOKUP(D1148,'报价表-配送'!$B$91:$I$95,3,0)*1000+IF(AND(MOD(H1148,30)&lt;0.02),H1148,0)*VLOOKUP(D1148,'报价表-配送'!$B$91:$I$95,2,0)*1000</f>
        <v>0</v>
      </c>
      <c r="N1148" s="38">
        <f t="shared" si="17"/>
        <v>0</v>
      </c>
    </row>
    <row r="1149" spans="1:14" x14ac:dyDescent="0.25">
      <c r="A1149" t="s">
        <v>125</v>
      </c>
      <c r="B1149" s="43" t="s">
        <v>125</v>
      </c>
      <c r="C1149" s="62">
        <f>VLOOKUP(B1149,合并仓明细!$D$2:$F$74,3,0)</f>
        <v>44</v>
      </c>
      <c r="D1149" t="s">
        <v>393</v>
      </c>
      <c r="E1149" s="43" t="s">
        <v>282</v>
      </c>
      <c r="F1149" t="s">
        <v>66</v>
      </c>
      <c r="G1149" s="42">
        <v>321.4975</v>
      </c>
      <c r="H1149">
        <v>0.32149749999999999</v>
      </c>
      <c r="K1149" s="1"/>
      <c r="L1149" s="37">
        <f>IF(H1149&gt;30,QUOTIENT(H1149,30)*VLOOKUP(D1149,'报价表-配送'!$B$91:$I$95,8,0),0)+IF(AND(MOD(H1149,30)&gt;18,MOD(H1149,30)&lt;=30),1,0)*VLOOKUP(D1149,'报价表-配送'!$B$91:$I$95,8,0)+IF(AND(MOD(H1149,30)&gt;8,MOD(H1149,30)&lt;=18),1*VLOOKUP(D1149,'报价表-配送'!$B$91:$I$95,7,0),0)+IF(AND(MOD(H1149,30)&lt;=8,MOD(H1149,30)&gt;2.5),1,0)*VLOOKUP(D1149,'报价表-配送'!$B$91:$I$95,6,0)+IF(AND(MOD(H1149,30)&lt;=2.5,MOD(H1149,30)&gt;=1.5),1,0)*VLOOKUP(D1149,'报价表-配送'!$B$91:$I$95,5,0)</f>
        <v>0</v>
      </c>
      <c r="M1149" s="39">
        <f>IF(AND(MOD(H1149,30)&lt;1.5,MOD(H1149,30)&gt;=0.5),H1149,0)*VLOOKUP(D1149,'报价表-配送'!$B$91:$I$95,4,0)*1000+IF(AND(MOD(H1149,30)&lt;0.5,MOD(H1149,30)&gt;=0.02),H1149,0)*VLOOKUP(D1149,'报价表-配送'!$B$91:$I$95,3,0)*1000+IF(AND(MOD(H1149,30)&lt;0.02),H1149,0)*VLOOKUP(D1149,'报价表-配送'!$B$91:$I$95,2,0)*1000</f>
        <v>0</v>
      </c>
      <c r="N1149" s="38">
        <f t="shared" si="17"/>
        <v>0</v>
      </c>
    </row>
    <row r="1150" spans="1:14" x14ac:dyDescent="0.25">
      <c r="A1150" t="s">
        <v>125</v>
      </c>
      <c r="B1150" s="43" t="s">
        <v>125</v>
      </c>
      <c r="C1150" s="62">
        <f>VLOOKUP(B1150,合并仓明细!$D$2:$F$74,3,0)</f>
        <v>44</v>
      </c>
      <c r="D1150" t="s">
        <v>393</v>
      </c>
      <c r="E1150" s="43" t="s">
        <v>250</v>
      </c>
      <c r="F1150" t="s">
        <v>66</v>
      </c>
      <c r="G1150" s="42">
        <v>219.83366663999996</v>
      </c>
      <c r="H1150">
        <v>0.21983366663999995</v>
      </c>
      <c r="K1150" s="1"/>
      <c r="L1150" s="37">
        <f>IF(H1150&gt;30,QUOTIENT(H1150,30)*VLOOKUP(D1150,'报价表-配送'!$B$91:$I$95,8,0),0)+IF(AND(MOD(H1150,30)&gt;18,MOD(H1150,30)&lt;=30),1,0)*VLOOKUP(D1150,'报价表-配送'!$B$91:$I$95,8,0)+IF(AND(MOD(H1150,30)&gt;8,MOD(H1150,30)&lt;=18),1*VLOOKUP(D1150,'报价表-配送'!$B$91:$I$95,7,0),0)+IF(AND(MOD(H1150,30)&lt;=8,MOD(H1150,30)&gt;2.5),1,0)*VLOOKUP(D1150,'报价表-配送'!$B$91:$I$95,6,0)+IF(AND(MOD(H1150,30)&lt;=2.5,MOD(H1150,30)&gt;=1.5),1,0)*VLOOKUP(D1150,'报价表-配送'!$B$91:$I$95,5,0)</f>
        <v>0</v>
      </c>
      <c r="M1150" s="39">
        <f>IF(AND(MOD(H1150,30)&lt;1.5,MOD(H1150,30)&gt;=0.5),H1150,0)*VLOOKUP(D1150,'报价表-配送'!$B$91:$I$95,4,0)*1000+IF(AND(MOD(H1150,30)&lt;0.5,MOD(H1150,30)&gt;=0.02),H1150,0)*VLOOKUP(D1150,'报价表-配送'!$B$91:$I$95,3,0)*1000+IF(AND(MOD(H1150,30)&lt;0.02),H1150,0)*VLOOKUP(D1150,'报价表-配送'!$B$91:$I$95,2,0)*1000</f>
        <v>0</v>
      </c>
      <c r="N1150" s="38">
        <f t="shared" si="17"/>
        <v>0</v>
      </c>
    </row>
    <row r="1151" spans="1:14" x14ac:dyDescent="0.25">
      <c r="A1151" t="s">
        <v>125</v>
      </c>
      <c r="B1151" s="43" t="s">
        <v>125</v>
      </c>
      <c r="C1151" s="62">
        <f>VLOOKUP(B1151,合并仓明细!$D$2:$F$74,3,0)</f>
        <v>44</v>
      </c>
      <c r="D1151" t="s">
        <v>393</v>
      </c>
      <c r="E1151" s="43" t="s">
        <v>300</v>
      </c>
      <c r="F1151" t="s">
        <v>66</v>
      </c>
      <c r="G1151" s="42">
        <v>48.921666650000006</v>
      </c>
      <c r="H1151">
        <v>4.8921666650000008E-2</v>
      </c>
      <c r="K1151" s="1"/>
      <c r="L1151" s="37">
        <f>IF(H1151&gt;30,QUOTIENT(H1151,30)*VLOOKUP(D1151,'报价表-配送'!$B$91:$I$95,8,0),0)+IF(AND(MOD(H1151,30)&gt;18,MOD(H1151,30)&lt;=30),1,0)*VLOOKUP(D1151,'报价表-配送'!$B$91:$I$95,8,0)+IF(AND(MOD(H1151,30)&gt;8,MOD(H1151,30)&lt;=18),1*VLOOKUP(D1151,'报价表-配送'!$B$91:$I$95,7,0),0)+IF(AND(MOD(H1151,30)&lt;=8,MOD(H1151,30)&gt;2.5),1,0)*VLOOKUP(D1151,'报价表-配送'!$B$91:$I$95,6,0)+IF(AND(MOD(H1151,30)&lt;=2.5,MOD(H1151,30)&gt;=1.5),1,0)*VLOOKUP(D1151,'报价表-配送'!$B$91:$I$95,5,0)</f>
        <v>0</v>
      </c>
      <c r="M1151" s="39">
        <f>IF(AND(MOD(H1151,30)&lt;1.5,MOD(H1151,30)&gt;=0.5),H1151,0)*VLOOKUP(D1151,'报价表-配送'!$B$91:$I$95,4,0)*1000+IF(AND(MOD(H1151,30)&lt;0.5,MOD(H1151,30)&gt;=0.02),H1151,0)*VLOOKUP(D1151,'报价表-配送'!$B$91:$I$95,3,0)*1000+IF(AND(MOD(H1151,30)&lt;0.02),H1151,0)*VLOOKUP(D1151,'报价表-配送'!$B$91:$I$95,2,0)*1000</f>
        <v>0</v>
      </c>
      <c r="N1151" s="38">
        <f t="shared" si="17"/>
        <v>0</v>
      </c>
    </row>
    <row r="1152" spans="1:14" x14ac:dyDescent="0.25">
      <c r="A1152" t="s">
        <v>125</v>
      </c>
      <c r="B1152" s="43" t="s">
        <v>125</v>
      </c>
      <c r="C1152" s="62">
        <f>VLOOKUP(B1152,合并仓明细!$D$2:$F$74,3,0)</f>
        <v>44</v>
      </c>
      <c r="D1152" t="s">
        <v>393</v>
      </c>
      <c r="E1152" s="43" t="s">
        <v>321</v>
      </c>
      <c r="F1152" t="s">
        <v>67</v>
      </c>
      <c r="G1152" s="42">
        <v>314.84237999999993</v>
      </c>
      <c r="H1152">
        <v>0.31484237999999992</v>
      </c>
      <c r="I1152" s="38">
        <f>IF(H1152&gt;30,QUOTIENT(H1152,30)*VLOOKUP(D1152,'报价表-配送'!$B$91:$I$95,8,0),0)+IF(AND(MOD(H1152,30)&gt;18,MOD(H1152,30)&lt;=30),1,0)*VLOOKUP(D1152,'报价表-配送'!$B$91:$I$95,8,0)</f>
        <v>0</v>
      </c>
      <c r="J1152" s="38">
        <f>IF(AND(MOD(H1152,30)&gt;8,MOD(H1152,30)&lt;=18),1*VLOOKUP(D1152,'报价表-配送'!$B$91:$I$95,7,0),0)</f>
        <v>0</v>
      </c>
      <c r="K1152" s="38">
        <f>IF(AND(MOD(H1152,30)&lt;=8,MOD(H1152,30)&gt;0),1,0)*VLOOKUP(D1152,'报价表-配送'!$B$91:$I$95,6,0)</f>
        <v>0</v>
      </c>
      <c r="L1152" s="33"/>
      <c r="M1152" s="1"/>
      <c r="N1152" s="38">
        <f t="shared" si="17"/>
        <v>0</v>
      </c>
    </row>
    <row r="1153" spans="1:14" x14ac:dyDescent="0.25">
      <c r="A1153" t="s">
        <v>82</v>
      </c>
      <c r="B1153" s="43" t="s">
        <v>141</v>
      </c>
      <c r="C1153" s="62">
        <f>VLOOKUP(B1153,合并仓明细!$D$2:$F$74,3,0)</f>
        <v>200</v>
      </c>
      <c r="D1153" t="s">
        <v>413</v>
      </c>
      <c r="E1153" s="43" t="s">
        <v>266</v>
      </c>
      <c r="F1153" t="s">
        <v>66</v>
      </c>
      <c r="G1153" s="42">
        <v>2004.49</v>
      </c>
      <c r="H1153">
        <v>2.0044900000000001</v>
      </c>
      <c r="K1153" s="1"/>
      <c r="L1153" s="37">
        <f>IF(H1153&gt;30,QUOTIENT(H1153,30)*VLOOKUP(D1153,'报价表-配送'!$B$16:$I$21,8,0),0)+IF(AND(MOD(H1153,30)&gt;18,MOD(H1153,30)&lt;=30),1,0)*VLOOKUP(D1153,'报价表-配送'!$B$16:$I$21,8,0)+IF(AND(MOD(H1153,30)&gt;8,MOD(H1153,30)&lt;=18),1*VLOOKUP(D1153,'报价表-配送'!$B$16:$I$21,7,0),0)+IF(AND(MOD(H1153,30)&lt;=8,MOD(H1153,30)&gt;2.5),1,0)*VLOOKUP(D1153,'报价表-配送'!$B$16:$I$21,6,0)+IF(AND(MOD(H1153,30)&lt;=2.5,MOD(H1153,30)&gt;=1.5),1,0)*VLOOKUP(D1153,'报价表-配送'!$B$16:$I$21,5,0)</f>
        <v>0</v>
      </c>
      <c r="M1153" s="39">
        <f>IF(AND(MOD(H1153,30)&lt;1.5,MOD(H1153,30)&gt;=0.5),H1153,0)*VLOOKUP(D1153,'报价表-配送'!$B$16:$I$21,4,0)*1000+IF(AND(MOD(H1153,30)&lt;0.5,MOD(H1153,30)&gt;=0.02),H1153,0)*VLOOKUP(D1153,'报价表-配送'!$B$16:$I$21,3,0)*1000+IF(AND(MOD(H1153,30)&lt;0.02),H1153,0)*VLOOKUP(D1153,'报价表-配送'!$B$16:$I$21,2,0)*1000</f>
        <v>0</v>
      </c>
      <c r="N1153" s="38">
        <f t="shared" si="17"/>
        <v>0</v>
      </c>
    </row>
    <row r="1154" spans="1:14" x14ac:dyDescent="0.25">
      <c r="A1154" t="s">
        <v>82</v>
      </c>
      <c r="B1154" s="43" t="s">
        <v>141</v>
      </c>
      <c r="C1154" s="62">
        <f>VLOOKUP(B1154,合并仓明细!$D$2:$F$74,3,0)</f>
        <v>200</v>
      </c>
      <c r="D1154" t="s">
        <v>413</v>
      </c>
      <c r="E1154" s="43" t="s">
        <v>362</v>
      </c>
      <c r="F1154" t="s">
        <v>68</v>
      </c>
      <c r="G1154" s="42">
        <v>32.28</v>
      </c>
      <c r="H1154">
        <v>7.281E-2</v>
      </c>
      <c r="I1154" s="46">
        <f>ROUNDUP(H1154/30,0)*VLOOKUP(D1154,'报价表-配送'!$B$16:$I$21,8,0)</f>
        <v>0</v>
      </c>
      <c r="K1154" s="1"/>
      <c r="L1154" s="33"/>
      <c r="M1154" s="1"/>
      <c r="N1154" s="38">
        <f t="shared" si="17"/>
        <v>0</v>
      </c>
    </row>
    <row r="1155" spans="1:14" x14ac:dyDescent="0.25">
      <c r="A1155" t="s">
        <v>82</v>
      </c>
      <c r="B1155" s="43" t="s">
        <v>141</v>
      </c>
      <c r="C1155" s="62">
        <f>VLOOKUP(B1155,合并仓明细!$D$2:$F$74,3,0)</f>
        <v>200</v>
      </c>
      <c r="D1155" t="s">
        <v>413</v>
      </c>
      <c r="E1155" s="43" t="s">
        <v>362</v>
      </c>
      <c r="F1155" t="s">
        <v>66</v>
      </c>
      <c r="G1155" s="42">
        <v>40.53</v>
      </c>
      <c r="H1155"/>
      <c r="K1155" s="1"/>
      <c r="L1155" s="33"/>
      <c r="M1155" s="1"/>
      <c r="N1155" s="38">
        <f t="shared" si="17"/>
        <v>0</v>
      </c>
    </row>
    <row r="1156" spans="1:14" x14ac:dyDescent="0.25">
      <c r="A1156" t="s">
        <v>82</v>
      </c>
      <c r="B1156" s="43" t="s">
        <v>141</v>
      </c>
      <c r="C1156" s="62">
        <f>VLOOKUP(B1156,合并仓明细!$D$2:$F$74,3,0)</f>
        <v>200</v>
      </c>
      <c r="D1156" t="s">
        <v>413</v>
      </c>
      <c r="E1156" s="43" t="s">
        <v>276</v>
      </c>
      <c r="F1156" t="s">
        <v>66</v>
      </c>
      <c r="G1156" s="42">
        <v>429.31</v>
      </c>
      <c r="H1156">
        <v>0.42931000000000002</v>
      </c>
      <c r="K1156" s="1"/>
      <c r="L1156" s="37">
        <f>IF(H1156&gt;30,QUOTIENT(H1156,30)*VLOOKUP(D1156,'报价表-配送'!$B$16:$I$21,8,0),0)+IF(AND(MOD(H1156,30)&gt;18,MOD(H1156,30)&lt;=30),1,0)*VLOOKUP(D1156,'报价表-配送'!$B$16:$I$21,8,0)+IF(AND(MOD(H1156,30)&gt;8,MOD(H1156,30)&lt;=18),1*VLOOKUP(D1156,'报价表-配送'!$B$16:$I$21,7,0),0)+IF(AND(MOD(H1156,30)&lt;=8,MOD(H1156,30)&gt;2.5),1,0)*VLOOKUP(D1156,'报价表-配送'!$B$16:$I$21,6,0)+IF(AND(MOD(H1156,30)&lt;=2.5,MOD(H1156,30)&gt;=1.5),1,0)*VLOOKUP(D1156,'报价表-配送'!$B$16:$I$21,5,0)</f>
        <v>0</v>
      </c>
      <c r="M1156" s="39">
        <f>IF(AND(MOD(H1156,30)&lt;1.5,MOD(H1156,30)&gt;=0.5),H1156,0)*VLOOKUP(D1156,'报价表-配送'!$B$16:$I$21,4,0)*1000+IF(AND(MOD(H1156,30)&lt;0.5,MOD(H1156,30)&gt;=0.02),H1156,0)*VLOOKUP(D1156,'报价表-配送'!$B$16:$I$21,3,0)*1000+IF(AND(MOD(H1156,30)&lt;0.02),H1156,0)*VLOOKUP(D1156,'报价表-配送'!$B$16:$I$21,2,0)*1000</f>
        <v>0</v>
      </c>
      <c r="N1156" s="38">
        <f t="shared" si="17"/>
        <v>0</v>
      </c>
    </row>
    <row r="1157" spans="1:14" x14ac:dyDescent="0.25">
      <c r="A1157" t="s">
        <v>82</v>
      </c>
      <c r="B1157" s="43" t="s">
        <v>141</v>
      </c>
      <c r="C1157" s="62">
        <f>VLOOKUP(B1157,合并仓明细!$D$2:$F$74,3,0)</f>
        <v>200</v>
      </c>
      <c r="D1157" t="s">
        <v>413</v>
      </c>
      <c r="E1157" s="43" t="s">
        <v>278</v>
      </c>
      <c r="F1157" t="s">
        <v>66</v>
      </c>
      <c r="G1157" s="42">
        <v>264.77</v>
      </c>
      <c r="H1157">
        <v>0.26477000000000001</v>
      </c>
      <c r="K1157" s="1"/>
      <c r="L1157" s="37">
        <f>IF(H1157&gt;30,QUOTIENT(H1157,30)*VLOOKUP(D1157,'报价表-配送'!$B$16:$I$21,8,0),0)+IF(AND(MOD(H1157,30)&gt;18,MOD(H1157,30)&lt;=30),1,0)*VLOOKUP(D1157,'报价表-配送'!$B$16:$I$21,8,0)+IF(AND(MOD(H1157,30)&gt;8,MOD(H1157,30)&lt;=18),1*VLOOKUP(D1157,'报价表-配送'!$B$16:$I$21,7,0),0)+IF(AND(MOD(H1157,30)&lt;=8,MOD(H1157,30)&gt;2.5),1,0)*VLOOKUP(D1157,'报价表-配送'!$B$16:$I$21,6,0)+IF(AND(MOD(H1157,30)&lt;=2.5,MOD(H1157,30)&gt;=1.5),1,0)*VLOOKUP(D1157,'报价表-配送'!$B$16:$I$21,5,0)</f>
        <v>0</v>
      </c>
      <c r="M1157" s="39">
        <f>IF(AND(MOD(H1157,30)&lt;1.5,MOD(H1157,30)&gt;=0.5),H1157,0)*VLOOKUP(D1157,'报价表-配送'!$B$16:$I$21,4,0)*1000+IF(AND(MOD(H1157,30)&lt;0.5,MOD(H1157,30)&gt;=0.02),H1157,0)*VLOOKUP(D1157,'报价表-配送'!$B$16:$I$21,3,0)*1000+IF(AND(MOD(H1157,30)&lt;0.02),H1157,0)*VLOOKUP(D1157,'报价表-配送'!$B$16:$I$21,2,0)*1000</f>
        <v>0</v>
      </c>
      <c r="N1157" s="38">
        <f t="shared" si="17"/>
        <v>0</v>
      </c>
    </row>
    <row r="1158" spans="1:14" x14ac:dyDescent="0.25">
      <c r="A1158" t="s">
        <v>82</v>
      </c>
      <c r="B1158" s="43" t="s">
        <v>141</v>
      </c>
      <c r="C1158" s="62">
        <f>VLOOKUP(B1158,合并仓明细!$D$2:$F$74,3,0)</f>
        <v>200</v>
      </c>
      <c r="D1158" t="s">
        <v>413</v>
      </c>
      <c r="E1158" s="43" t="s">
        <v>352</v>
      </c>
      <c r="F1158" t="s">
        <v>68</v>
      </c>
      <c r="G1158" s="42">
        <v>4687.1100000000006</v>
      </c>
      <c r="H1158">
        <v>5.8762900000000009</v>
      </c>
      <c r="I1158" s="46">
        <f>ROUNDUP(H1158/30,0)*VLOOKUP(D1158,'报价表-配送'!$B$16:$I$21,8,0)</f>
        <v>0</v>
      </c>
      <c r="K1158" s="1"/>
      <c r="L1158" s="33"/>
      <c r="M1158" s="1"/>
      <c r="N1158" s="38">
        <f t="shared" si="17"/>
        <v>0</v>
      </c>
    </row>
    <row r="1159" spans="1:14" x14ac:dyDescent="0.25">
      <c r="A1159" t="s">
        <v>82</v>
      </c>
      <c r="B1159" s="43" t="s">
        <v>141</v>
      </c>
      <c r="C1159" s="62">
        <f>VLOOKUP(B1159,合并仓明细!$D$2:$F$74,3,0)</f>
        <v>200</v>
      </c>
      <c r="D1159" t="s">
        <v>413</v>
      </c>
      <c r="E1159" s="43" t="s">
        <v>352</v>
      </c>
      <c r="F1159" t="s">
        <v>66</v>
      </c>
      <c r="G1159" s="42">
        <v>1189.1799999999998</v>
      </c>
      <c r="H1159"/>
      <c r="K1159" s="1"/>
      <c r="L1159" s="33"/>
      <c r="M1159" s="1"/>
      <c r="N1159" s="38">
        <f t="shared" si="17"/>
        <v>0</v>
      </c>
    </row>
    <row r="1160" spans="1:14" x14ac:dyDescent="0.25">
      <c r="A1160" t="s">
        <v>82</v>
      </c>
      <c r="B1160" s="43" t="s">
        <v>141</v>
      </c>
      <c r="C1160" s="62">
        <f>VLOOKUP(B1160,合并仓明细!$D$2:$F$74,3,0)</f>
        <v>200</v>
      </c>
      <c r="D1160" t="s">
        <v>413</v>
      </c>
      <c r="E1160" s="43" t="s">
        <v>363</v>
      </c>
      <c r="F1160" t="s">
        <v>67</v>
      </c>
      <c r="G1160" s="42">
        <v>20053.550000000003</v>
      </c>
      <c r="H1160">
        <v>23.640880000000003</v>
      </c>
      <c r="I1160" s="38">
        <f>IF(H1160&gt;30,QUOTIENT(H1160,30)*VLOOKUP(D1160,'报价表-配送'!$B$16:$I$21,8,0),0)+IF(AND(MOD(H1160,30)&gt;18,MOD(H1160,30)&lt;=30),1,0)*VLOOKUP(D1160,'报价表-配送'!$B$16:$I$21,8,0)</f>
        <v>0</v>
      </c>
      <c r="J1160" s="38">
        <f>IF(AND(MOD(H1160,30)&gt;8,MOD(H1160,30)&lt;=18),1*VLOOKUP(D1160,'报价表-配送'!$B$16:$I$21,7,0),0)</f>
        <v>0</v>
      </c>
      <c r="K1160" s="38">
        <f>IF(AND(MOD(H1160,30)&lt;=8,MOD(H1160,30)&gt;0),1,0)*VLOOKUP(D1160,'报价表-配送'!$B$16:$I$21,6,0)</f>
        <v>0</v>
      </c>
      <c r="L1160" s="33"/>
      <c r="M1160" s="1"/>
      <c r="N1160" s="38">
        <f t="shared" si="17"/>
        <v>0</v>
      </c>
    </row>
    <row r="1161" spans="1:14" x14ac:dyDescent="0.25">
      <c r="A1161" t="s">
        <v>82</v>
      </c>
      <c r="B1161" s="43" t="s">
        <v>141</v>
      </c>
      <c r="C1161" s="62">
        <f>VLOOKUP(B1161,合并仓明细!$D$2:$F$74,3,0)</f>
        <v>200</v>
      </c>
      <c r="D1161" t="s">
        <v>413</v>
      </c>
      <c r="E1161" s="43" t="s">
        <v>363</v>
      </c>
      <c r="F1161" t="s">
        <v>66</v>
      </c>
      <c r="G1161" s="42">
        <v>3587.329999999999</v>
      </c>
      <c r="H1161"/>
      <c r="K1161" s="1"/>
      <c r="L1161" s="33"/>
      <c r="M1161" s="1"/>
      <c r="N1161" s="38">
        <f t="shared" si="17"/>
        <v>0</v>
      </c>
    </row>
    <row r="1162" spans="1:14" x14ac:dyDescent="0.25">
      <c r="A1162" t="s">
        <v>82</v>
      </c>
      <c r="B1162" s="43" t="s">
        <v>141</v>
      </c>
      <c r="C1162" s="62">
        <f>VLOOKUP(B1162,合并仓明细!$D$2:$F$74,3,0)</f>
        <v>200</v>
      </c>
      <c r="D1162" t="s">
        <v>413</v>
      </c>
      <c r="E1162" s="43" t="s">
        <v>293</v>
      </c>
      <c r="F1162" t="s">
        <v>66</v>
      </c>
      <c r="G1162" s="42">
        <v>76.02000000000001</v>
      </c>
      <c r="H1162">
        <v>7.6020000000000004E-2</v>
      </c>
      <c r="K1162" s="1"/>
      <c r="L1162" s="37">
        <f>IF(H1162&gt;30,QUOTIENT(H1162,30)*VLOOKUP(D1162,'报价表-配送'!$B$16:$I$21,8,0),0)+IF(AND(MOD(H1162,30)&gt;18,MOD(H1162,30)&lt;=30),1,0)*VLOOKUP(D1162,'报价表-配送'!$B$16:$I$21,8,0)+IF(AND(MOD(H1162,30)&gt;8,MOD(H1162,30)&lt;=18),1*VLOOKUP(D1162,'报价表-配送'!$B$16:$I$21,7,0),0)+IF(AND(MOD(H1162,30)&lt;=8,MOD(H1162,30)&gt;2.5),1,0)*VLOOKUP(D1162,'报价表-配送'!$B$16:$I$21,6,0)+IF(AND(MOD(H1162,30)&lt;=2.5,MOD(H1162,30)&gt;=1.5),1,0)*VLOOKUP(D1162,'报价表-配送'!$B$16:$I$21,5,0)</f>
        <v>0</v>
      </c>
      <c r="M1162" s="39">
        <f>IF(AND(MOD(H1162,30)&lt;1.5,MOD(H1162,30)&gt;=0.5),H1162,0)*VLOOKUP(D1162,'报价表-配送'!$B$16:$I$21,4,0)*1000+IF(AND(MOD(H1162,30)&lt;0.5,MOD(H1162,30)&gt;=0.02),H1162,0)*VLOOKUP(D1162,'报价表-配送'!$B$16:$I$21,3,0)*1000+IF(AND(MOD(H1162,30)&lt;0.02),H1162,0)*VLOOKUP(D1162,'报价表-配送'!$B$16:$I$21,2,0)*1000</f>
        <v>0</v>
      </c>
      <c r="N1162" s="38">
        <f t="shared" si="17"/>
        <v>0</v>
      </c>
    </row>
    <row r="1163" spans="1:14" x14ac:dyDescent="0.25">
      <c r="A1163" t="s">
        <v>82</v>
      </c>
      <c r="B1163" s="43" t="s">
        <v>141</v>
      </c>
      <c r="C1163" s="62">
        <f>VLOOKUP(B1163,合并仓明细!$D$2:$F$74,3,0)</f>
        <v>200</v>
      </c>
      <c r="D1163" t="s">
        <v>413</v>
      </c>
      <c r="E1163" s="43" t="s">
        <v>364</v>
      </c>
      <c r="F1163" t="s">
        <v>66</v>
      </c>
      <c r="G1163" s="42">
        <v>114.29</v>
      </c>
      <c r="H1163">
        <v>0.11429</v>
      </c>
      <c r="K1163" s="1"/>
      <c r="L1163" s="37">
        <f>IF(H1163&gt;30,QUOTIENT(H1163,30)*VLOOKUP(D1163,'报价表-配送'!$B$16:$I$21,8,0),0)+IF(AND(MOD(H1163,30)&gt;18,MOD(H1163,30)&lt;=30),1,0)*VLOOKUP(D1163,'报价表-配送'!$B$16:$I$21,8,0)+IF(AND(MOD(H1163,30)&gt;8,MOD(H1163,30)&lt;=18),1*VLOOKUP(D1163,'报价表-配送'!$B$16:$I$21,7,0),0)+IF(AND(MOD(H1163,30)&lt;=8,MOD(H1163,30)&gt;2.5),1,0)*VLOOKUP(D1163,'报价表-配送'!$B$16:$I$21,6,0)+IF(AND(MOD(H1163,30)&lt;=2.5,MOD(H1163,30)&gt;=1.5),1,0)*VLOOKUP(D1163,'报价表-配送'!$B$16:$I$21,5,0)</f>
        <v>0</v>
      </c>
      <c r="M1163" s="39">
        <f>IF(AND(MOD(H1163,30)&lt;1.5,MOD(H1163,30)&gt;=0.5),H1163,0)*VLOOKUP(D1163,'报价表-配送'!$B$16:$I$21,4,0)*1000+IF(AND(MOD(H1163,30)&lt;0.5,MOD(H1163,30)&gt;=0.02),H1163,0)*VLOOKUP(D1163,'报价表-配送'!$B$16:$I$21,3,0)*1000+IF(AND(MOD(H1163,30)&lt;0.02),H1163,0)*VLOOKUP(D1163,'报价表-配送'!$B$16:$I$21,2,0)*1000</f>
        <v>0</v>
      </c>
      <c r="N1163" s="38">
        <f t="shared" si="17"/>
        <v>0</v>
      </c>
    </row>
    <row r="1164" spans="1:14" x14ac:dyDescent="0.25">
      <c r="A1164" t="s">
        <v>82</v>
      </c>
      <c r="B1164" s="43" t="s">
        <v>141</v>
      </c>
      <c r="C1164" s="62">
        <f>VLOOKUP(B1164,合并仓明细!$D$2:$F$74,3,0)</f>
        <v>200</v>
      </c>
      <c r="D1164" t="s">
        <v>413</v>
      </c>
      <c r="E1164" s="43" t="s">
        <v>249</v>
      </c>
      <c r="F1164" t="s">
        <v>68</v>
      </c>
      <c r="G1164" s="42">
        <v>6423.83</v>
      </c>
      <c r="H1164">
        <v>21.966819999999998</v>
      </c>
      <c r="I1164" s="46">
        <f>ROUNDUP(H1164/30,0)*VLOOKUP(D1164,'报价表-配送'!$B$16:$I$21,8,0)</f>
        <v>0</v>
      </c>
      <c r="K1164" s="1"/>
      <c r="L1164" s="33"/>
      <c r="M1164" s="1"/>
      <c r="N1164" s="38">
        <f t="shared" si="17"/>
        <v>0</v>
      </c>
    </row>
    <row r="1165" spans="1:14" x14ac:dyDescent="0.25">
      <c r="A1165" t="s">
        <v>82</v>
      </c>
      <c r="B1165" s="43" t="s">
        <v>141</v>
      </c>
      <c r="C1165" s="62">
        <f>VLOOKUP(B1165,合并仓明细!$D$2:$F$74,3,0)</f>
        <v>200</v>
      </c>
      <c r="D1165" t="s">
        <v>413</v>
      </c>
      <c r="E1165" s="43" t="s">
        <v>249</v>
      </c>
      <c r="F1165" t="s">
        <v>67</v>
      </c>
      <c r="G1165" s="42">
        <v>15542.99</v>
      </c>
      <c r="H1165"/>
      <c r="K1165" s="1"/>
      <c r="L1165" s="33"/>
      <c r="M1165" s="1"/>
      <c r="N1165" s="38">
        <f t="shared" si="17"/>
        <v>0</v>
      </c>
    </row>
    <row r="1166" spans="1:14" x14ac:dyDescent="0.25">
      <c r="A1166" t="s">
        <v>82</v>
      </c>
      <c r="B1166" s="43" t="s">
        <v>141</v>
      </c>
      <c r="C1166" s="62">
        <f>VLOOKUP(B1166,合并仓明细!$D$2:$F$74,3,0)</f>
        <v>200</v>
      </c>
      <c r="D1166" t="s">
        <v>413</v>
      </c>
      <c r="E1166" s="43" t="s">
        <v>320</v>
      </c>
      <c r="F1166" t="s">
        <v>66</v>
      </c>
      <c r="G1166" s="42">
        <v>2000</v>
      </c>
      <c r="H1166">
        <v>2</v>
      </c>
      <c r="K1166" s="1"/>
      <c r="L1166" s="37">
        <f>IF(H1166&gt;30,QUOTIENT(H1166,30)*VLOOKUP(D1166,'报价表-配送'!$B$16:$I$21,8,0),0)+IF(AND(MOD(H1166,30)&gt;18,MOD(H1166,30)&lt;=30),1,0)*VLOOKUP(D1166,'报价表-配送'!$B$16:$I$21,8,0)+IF(AND(MOD(H1166,30)&gt;8,MOD(H1166,30)&lt;=18),1*VLOOKUP(D1166,'报价表-配送'!$B$16:$I$21,7,0),0)+IF(AND(MOD(H1166,30)&lt;=8,MOD(H1166,30)&gt;2.5),1,0)*VLOOKUP(D1166,'报价表-配送'!$B$16:$I$21,6,0)+IF(AND(MOD(H1166,30)&lt;=2.5,MOD(H1166,30)&gt;=1.5),1,0)*VLOOKUP(D1166,'报价表-配送'!$B$16:$I$21,5,0)</f>
        <v>0</v>
      </c>
      <c r="M1166" s="39">
        <f>IF(AND(MOD(H1166,30)&lt;1.5,MOD(H1166,30)&gt;=0.5),H1166,0)*VLOOKUP(D1166,'报价表-配送'!$B$16:$I$21,4,0)*1000+IF(AND(MOD(H1166,30)&lt;0.5,MOD(H1166,30)&gt;=0.02),H1166,0)*VLOOKUP(D1166,'报价表-配送'!$B$16:$I$21,3,0)*1000+IF(AND(MOD(H1166,30)&lt;0.02),H1166,0)*VLOOKUP(D1166,'报价表-配送'!$B$16:$I$21,2,0)*1000</f>
        <v>0</v>
      </c>
      <c r="N1166" s="38">
        <f t="shared" si="17"/>
        <v>0</v>
      </c>
    </row>
    <row r="1167" spans="1:14" x14ac:dyDescent="0.25">
      <c r="A1167" t="s">
        <v>82</v>
      </c>
      <c r="B1167" s="43" t="s">
        <v>141</v>
      </c>
      <c r="C1167" s="62">
        <f>VLOOKUP(B1167,合并仓明细!$D$2:$F$74,3,0)</f>
        <v>200</v>
      </c>
      <c r="D1167" t="s">
        <v>413</v>
      </c>
      <c r="E1167" s="43" t="s">
        <v>253</v>
      </c>
      <c r="F1167" t="s">
        <v>66</v>
      </c>
      <c r="G1167" s="42">
        <v>794.5100000000001</v>
      </c>
      <c r="H1167">
        <v>0.79451000000000005</v>
      </c>
      <c r="K1167" s="1"/>
      <c r="L1167" s="37">
        <f>IF(H1167&gt;30,QUOTIENT(H1167,30)*VLOOKUP(D1167,'报价表-配送'!$B$16:$I$21,8,0),0)+IF(AND(MOD(H1167,30)&gt;18,MOD(H1167,30)&lt;=30),1,0)*VLOOKUP(D1167,'报价表-配送'!$B$16:$I$21,8,0)+IF(AND(MOD(H1167,30)&gt;8,MOD(H1167,30)&lt;=18),1*VLOOKUP(D1167,'报价表-配送'!$B$16:$I$21,7,0),0)+IF(AND(MOD(H1167,30)&lt;=8,MOD(H1167,30)&gt;2.5),1,0)*VLOOKUP(D1167,'报价表-配送'!$B$16:$I$21,6,0)+IF(AND(MOD(H1167,30)&lt;=2.5,MOD(H1167,30)&gt;=1.5),1,0)*VLOOKUP(D1167,'报价表-配送'!$B$16:$I$21,5,0)</f>
        <v>0</v>
      </c>
      <c r="M1167" s="39">
        <f>IF(AND(MOD(H1167,30)&lt;1.5,MOD(H1167,30)&gt;=0.5),H1167,0)*VLOOKUP(D1167,'报价表-配送'!$B$16:$I$21,4,0)*1000+IF(AND(MOD(H1167,30)&lt;0.5,MOD(H1167,30)&gt;=0.02),H1167,0)*VLOOKUP(D1167,'报价表-配送'!$B$16:$I$21,3,0)*1000+IF(AND(MOD(H1167,30)&lt;0.02),H1167,0)*VLOOKUP(D1167,'报价表-配送'!$B$16:$I$21,2,0)*1000</f>
        <v>0</v>
      </c>
      <c r="N1167" s="38">
        <f t="shared" si="17"/>
        <v>0</v>
      </c>
    </row>
    <row r="1168" spans="1:14" x14ac:dyDescent="0.25">
      <c r="A1168" t="s">
        <v>82</v>
      </c>
      <c r="B1168" s="43" t="s">
        <v>141</v>
      </c>
      <c r="C1168" s="62">
        <f>VLOOKUP(B1168,合并仓明细!$D$2:$F$74,3,0)</f>
        <v>200</v>
      </c>
      <c r="D1168" t="s">
        <v>413</v>
      </c>
      <c r="E1168" s="43" t="s">
        <v>305</v>
      </c>
      <c r="F1168" t="s">
        <v>66</v>
      </c>
      <c r="G1168" s="42">
        <v>1967.2</v>
      </c>
      <c r="H1168">
        <v>1.9672000000000001</v>
      </c>
      <c r="K1168" s="1"/>
      <c r="L1168" s="37">
        <f>IF(H1168&gt;30,QUOTIENT(H1168,30)*VLOOKUP(D1168,'报价表-配送'!$B$16:$I$21,8,0),0)+IF(AND(MOD(H1168,30)&gt;18,MOD(H1168,30)&lt;=30),1,0)*VLOOKUP(D1168,'报价表-配送'!$B$16:$I$21,8,0)+IF(AND(MOD(H1168,30)&gt;8,MOD(H1168,30)&lt;=18),1*VLOOKUP(D1168,'报价表-配送'!$B$16:$I$21,7,0),0)+IF(AND(MOD(H1168,30)&lt;=8,MOD(H1168,30)&gt;2.5),1,0)*VLOOKUP(D1168,'报价表-配送'!$B$16:$I$21,6,0)+IF(AND(MOD(H1168,30)&lt;=2.5,MOD(H1168,30)&gt;=1.5),1,0)*VLOOKUP(D1168,'报价表-配送'!$B$16:$I$21,5,0)</f>
        <v>0</v>
      </c>
      <c r="M1168" s="39">
        <f>IF(AND(MOD(H1168,30)&lt;1.5,MOD(H1168,30)&gt;=0.5),H1168,0)*VLOOKUP(D1168,'报价表-配送'!$B$16:$I$21,4,0)*1000+IF(AND(MOD(H1168,30)&lt;0.5,MOD(H1168,30)&gt;=0.02),H1168,0)*VLOOKUP(D1168,'报价表-配送'!$B$16:$I$21,3,0)*1000+IF(AND(MOD(H1168,30)&lt;0.02),H1168,0)*VLOOKUP(D1168,'报价表-配送'!$B$16:$I$21,2,0)*1000</f>
        <v>0</v>
      </c>
      <c r="N1168" s="38">
        <f t="shared" si="17"/>
        <v>0</v>
      </c>
    </row>
    <row r="1169" spans="1:14" x14ac:dyDescent="0.25">
      <c r="A1169" t="s">
        <v>82</v>
      </c>
      <c r="B1169" s="43" t="s">
        <v>141</v>
      </c>
      <c r="C1169" s="62">
        <f>VLOOKUP(B1169,合并仓明细!$D$2:$F$74,3,0)</f>
        <v>200</v>
      </c>
      <c r="D1169" t="s">
        <v>413</v>
      </c>
      <c r="E1169" s="43" t="s">
        <v>332</v>
      </c>
      <c r="F1169" t="s">
        <v>68</v>
      </c>
      <c r="G1169" s="42">
        <v>9006.23</v>
      </c>
      <c r="H1169">
        <v>9.0062300000000004</v>
      </c>
      <c r="I1169" s="46">
        <f>ROUNDUP(H1169/30,0)*VLOOKUP(D1169,'报价表-配送'!$B$16:$I$21,8,0)</f>
        <v>0</v>
      </c>
      <c r="K1169" s="1"/>
      <c r="L1169" s="33"/>
      <c r="M1169" s="1"/>
      <c r="N1169" s="38">
        <f t="shared" si="17"/>
        <v>0</v>
      </c>
    </row>
    <row r="1170" spans="1:14" x14ac:dyDescent="0.25">
      <c r="A1170" t="s">
        <v>82</v>
      </c>
      <c r="B1170" s="43" t="s">
        <v>141</v>
      </c>
      <c r="C1170" s="62">
        <f>VLOOKUP(B1170,合并仓明细!$D$2:$F$74,3,0)</f>
        <v>200</v>
      </c>
      <c r="D1170" t="s">
        <v>413</v>
      </c>
      <c r="E1170" s="43" t="s">
        <v>255</v>
      </c>
      <c r="F1170" t="s">
        <v>66</v>
      </c>
      <c r="G1170" s="42">
        <v>210</v>
      </c>
      <c r="H1170">
        <v>0.21</v>
      </c>
      <c r="K1170" s="1"/>
      <c r="L1170" s="37">
        <f>IF(H1170&gt;30,QUOTIENT(H1170,30)*VLOOKUP(D1170,'报价表-配送'!$B$16:$I$21,8,0),0)+IF(AND(MOD(H1170,30)&gt;18,MOD(H1170,30)&lt;=30),1,0)*VLOOKUP(D1170,'报价表-配送'!$B$16:$I$21,8,0)+IF(AND(MOD(H1170,30)&gt;8,MOD(H1170,30)&lt;=18),1*VLOOKUP(D1170,'报价表-配送'!$B$16:$I$21,7,0),0)+IF(AND(MOD(H1170,30)&lt;=8,MOD(H1170,30)&gt;2.5),1,0)*VLOOKUP(D1170,'报价表-配送'!$B$16:$I$21,6,0)+IF(AND(MOD(H1170,30)&lt;=2.5,MOD(H1170,30)&gt;=1.5),1,0)*VLOOKUP(D1170,'报价表-配送'!$B$16:$I$21,5,0)</f>
        <v>0</v>
      </c>
      <c r="M1170" s="39">
        <f>IF(AND(MOD(H1170,30)&lt;1.5,MOD(H1170,30)&gt;=0.5),H1170,0)*VLOOKUP(D1170,'报价表-配送'!$B$16:$I$21,4,0)*1000+IF(AND(MOD(H1170,30)&lt;0.5,MOD(H1170,30)&gt;=0.02),H1170,0)*VLOOKUP(D1170,'报价表-配送'!$B$16:$I$21,3,0)*1000+IF(AND(MOD(H1170,30)&lt;0.02),H1170,0)*VLOOKUP(D1170,'报价表-配送'!$B$16:$I$21,2,0)*1000</f>
        <v>0</v>
      </c>
      <c r="N1170" s="38">
        <f t="shared" si="17"/>
        <v>0</v>
      </c>
    </row>
    <row r="1171" spans="1:14" x14ac:dyDescent="0.25">
      <c r="A1171" t="s">
        <v>82</v>
      </c>
      <c r="B1171" s="43" t="s">
        <v>142</v>
      </c>
      <c r="C1171" s="62">
        <f>VLOOKUP(B1171,合并仓明细!$D$2:$F$74,3,0)</f>
        <v>73</v>
      </c>
      <c r="D1171" t="s">
        <v>393</v>
      </c>
      <c r="E1171" s="43" t="s">
        <v>362</v>
      </c>
      <c r="F1171" t="s">
        <v>66</v>
      </c>
      <c r="G1171" s="42">
        <v>89.35</v>
      </c>
      <c r="H1171">
        <v>8.9349999999999999E-2</v>
      </c>
      <c r="K1171" s="1"/>
      <c r="L1171" s="37">
        <f>IF(H1171&gt;30,QUOTIENT(H1171,30)*VLOOKUP(D1171,'报价表-配送'!$B$16:$I$21,8,0),0)+IF(AND(MOD(H1171,30)&gt;18,MOD(H1171,30)&lt;=30),1,0)*VLOOKUP(D1171,'报价表-配送'!$B$16:$I$21,8,0)+IF(AND(MOD(H1171,30)&gt;8,MOD(H1171,30)&lt;=18),1*VLOOKUP(D1171,'报价表-配送'!$B$16:$I$21,7,0),0)+IF(AND(MOD(H1171,30)&lt;=8,MOD(H1171,30)&gt;2.5),1,0)*VLOOKUP(D1171,'报价表-配送'!$B$16:$I$21,6,0)+IF(AND(MOD(H1171,30)&lt;=2.5,MOD(H1171,30)&gt;=1.5),1,0)*VLOOKUP(D1171,'报价表-配送'!$B$16:$I$21,5,0)</f>
        <v>0</v>
      </c>
      <c r="M1171" s="39">
        <f>IF(AND(MOD(H1171,30)&lt;1.5,MOD(H1171,30)&gt;=0.5),H1171,0)*VLOOKUP(D1171,'报价表-配送'!$B$16:$I$21,4,0)*1000+IF(AND(MOD(H1171,30)&lt;0.5,MOD(H1171,30)&gt;=0.02),H1171,0)*VLOOKUP(D1171,'报价表-配送'!$B$16:$I$21,3,0)*1000+IF(AND(MOD(H1171,30)&lt;0.02),H1171,0)*VLOOKUP(D1171,'报价表-配送'!$B$16:$I$21,2,0)*1000</f>
        <v>0</v>
      </c>
      <c r="N1171" s="38">
        <f t="shared" si="17"/>
        <v>0</v>
      </c>
    </row>
    <row r="1172" spans="1:14" x14ac:dyDescent="0.25">
      <c r="A1172" t="s">
        <v>82</v>
      </c>
      <c r="B1172" s="43" t="s">
        <v>142</v>
      </c>
      <c r="C1172" s="62">
        <f>VLOOKUP(B1172,合并仓明细!$D$2:$F$74,3,0)</f>
        <v>73</v>
      </c>
      <c r="D1172" t="s">
        <v>393</v>
      </c>
      <c r="E1172" s="43" t="s">
        <v>275</v>
      </c>
      <c r="F1172" t="s">
        <v>66</v>
      </c>
      <c r="G1172" s="42">
        <v>349.62</v>
      </c>
      <c r="H1172">
        <v>0.34961999999999999</v>
      </c>
      <c r="K1172" s="1"/>
      <c r="L1172" s="37">
        <f>IF(H1172&gt;30,QUOTIENT(H1172,30)*VLOOKUP(D1172,'报价表-配送'!$B$16:$I$21,8,0),0)+IF(AND(MOD(H1172,30)&gt;18,MOD(H1172,30)&lt;=30),1,0)*VLOOKUP(D1172,'报价表-配送'!$B$16:$I$21,8,0)+IF(AND(MOD(H1172,30)&gt;8,MOD(H1172,30)&lt;=18),1*VLOOKUP(D1172,'报价表-配送'!$B$16:$I$21,7,0),0)+IF(AND(MOD(H1172,30)&lt;=8,MOD(H1172,30)&gt;2.5),1,0)*VLOOKUP(D1172,'报价表-配送'!$B$16:$I$21,6,0)+IF(AND(MOD(H1172,30)&lt;=2.5,MOD(H1172,30)&gt;=1.5),1,0)*VLOOKUP(D1172,'报价表-配送'!$B$16:$I$21,5,0)</f>
        <v>0</v>
      </c>
      <c r="M1172" s="39">
        <f>IF(AND(MOD(H1172,30)&lt;1.5,MOD(H1172,30)&gt;=0.5),H1172,0)*VLOOKUP(D1172,'报价表-配送'!$B$16:$I$21,4,0)*1000+IF(AND(MOD(H1172,30)&lt;0.5,MOD(H1172,30)&gt;=0.02),H1172,0)*VLOOKUP(D1172,'报价表-配送'!$B$16:$I$21,3,0)*1000+IF(AND(MOD(H1172,30)&lt;0.02),H1172,0)*VLOOKUP(D1172,'报价表-配送'!$B$16:$I$21,2,0)*1000</f>
        <v>0</v>
      </c>
      <c r="N1172" s="38">
        <f t="shared" si="17"/>
        <v>0</v>
      </c>
    </row>
    <row r="1173" spans="1:14" x14ac:dyDescent="0.25">
      <c r="A1173" t="s">
        <v>82</v>
      </c>
      <c r="B1173" s="43" t="s">
        <v>142</v>
      </c>
      <c r="C1173" s="62">
        <f>VLOOKUP(B1173,合并仓明细!$D$2:$F$74,3,0)</f>
        <v>73</v>
      </c>
      <c r="D1173" t="s">
        <v>393</v>
      </c>
      <c r="E1173" s="43" t="s">
        <v>313</v>
      </c>
      <c r="F1173" t="s">
        <v>67</v>
      </c>
      <c r="G1173" s="42">
        <v>8003.64</v>
      </c>
      <c r="H1173">
        <v>8.0847800000000003</v>
      </c>
      <c r="I1173" s="38">
        <f>IF(H1173&gt;30,QUOTIENT(H1173,30)*VLOOKUP(D1173,'报价表-配送'!$B$16:$I$21,8,0),0)+IF(AND(MOD(H1173,30)&gt;18,MOD(H1173,30)&lt;=30),1,0)*VLOOKUP(D1173,'报价表-配送'!$B$16:$I$21,8,0)</f>
        <v>0</v>
      </c>
      <c r="J1173" s="38">
        <f>IF(AND(MOD(H1173,30)&gt;8,MOD(H1173,30)&lt;=18),1*VLOOKUP(D1173,'报价表-配送'!$B$16:$I$21,7,0),0)</f>
        <v>0</v>
      </c>
      <c r="K1173" s="38">
        <f>IF(AND(MOD(H1173,30)&lt;=8,MOD(H1173,30)&gt;0),1,0)*VLOOKUP(D1173,'报价表-配送'!$B$16:$I$21,6,0)</f>
        <v>0</v>
      </c>
      <c r="L1173" s="33"/>
      <c r="M1173" s="1"/>
      <c r="N1173" s="38">
        <f t="shared" si="17"/>
        <v>0</v>
      </c>
    </row>
    <row r="1174" spans="1:14" x14ac:dyDescent="0.25">
      <c r="A1174" t="s">
        <v>82</v>
      </c>
      <c r="B1174" s="43" t="s">
        <v>142</v>
      </c>
      <c r="C1174" s="62">
        <f>VLOOKUP(B1174,合并仓明细!$D$2:$F$74,3,0)</f>
        <v>73</v>
      </c>
      <c r="D1174" t="s">
        <v>393</v>
      </c>
      <c r="E1174" s="43" t="s">
        <v>313</v>
      </c>
      <c r="F1174" t="s">
        <v>66</v>
      </c>
      <c r="G1174" s="42">
        <v>81.14</v>
      </c>
      <c r="H1174"/>
      <c r="K1174" s="1"/>
      <c r="L1174" s="33"/>
      <c r="M1174" s="1"/>
      <c r="N1174" s="38">
        <f t="shared" si="17"/>
        <v>0</v>
      </c>
    </row>
    <row r="1175" spans="1:14" x14ac:dyDescent="0.25">
      <c r="A1175" t="s">
        <v>82</v>
      </c>
      <c r="B1175" s="43" t="s">
        <v>142</v>
      </c>
      <c r="C1175" s="62">
        <f>VLOOKUP(B1175,合并仓明细!$D$2:$F$74,3,0)</f>
        <v>73</v>
      </c>
      <c r="D1175" t="s">
        <v>393</v>
      </c>
      <c r="E1175" s="43" t="s">
        <v>284</v>
      </c>
      <c r="F1175" t="s">
        <v>68</v>
      </c>
      <c r="G1175" s="42">
        <v>7957.73</v>
      </c>
      <c r="H1175">
        <v>8.6108799999999999</v>
      </c>
      <c r="I1175" s="46">
        <f>ROUNDUP(H1175/30,0)*VLOOKUP(D1175,'报价表-配送'!$B$16:$I$21,8,0)</f>
        <v>0</v>
      </c>
      <c r="K1175" s="1"/>
      <c r="L1175" s="33"/>
      <c r="M1175" s="1"/>
      <c r="N1175" s="38">
        <f t="shared" si="17"/>
        <v>0</v>
      </c>
    </row>
    <row r="1176" spans="1:14" x14ac:dyDescent="0.25">
      <c r="A1176" t="s">
        <v>82</v>
      </c>
      <c r="B1176" s="43" t="s">
        <v>142</v>
      </c>
      <c r="C1176" s="62">
        <f>VLOOKUP(B1176,合并仓明细!$D$2:$F$74,3,0)</f>
        <v>73</v>
      </c>
      <c r="D1176" t="s">
        <v>393</v>
      </c>
      <c r="E1176" s="43" t="s">
        <v>284</v>
      </c>
      <c r="F1176" t="s">
        <v>66</v>
      </c>
      <c r="G1176" s="42">
        <v>653.15</v>
      </c>
      <c r="H1176"/>
      <c r="K1176" s="1"/>
      <c r="L1176" s="33"/>
      <c r="M1176" s="1"/>
      <c r="N1176" s="38">
        <f t="shared" si="17"/>
        <v>0</v>
      </c>
    </row>
    <row r="1177" spans="1:14" x14ac:dyDescent="0.25">
      <c r="A1177" t="s">
        <v>82</v>
      </c>
      <c r="B1177" s="43" t="s">
        <v>142</v>
      </c>
      <c r="C1177" s="62">
        <f>VLOOKUP(B1177,合并仓明细!$D$2:$F$74,3,0)</f>
        <v>73</v>
      </c>
      <c r="D1177" t="s">
        <v>393</v>
      </c>
      <c r="E1177" s="43" t="s">
        <v>314</v>
      </c>
      <c r="F1177" t="s">
        <v>66</v>
      </c>
      <c r="G1177" s="42">
        <v>4633.8999999999996</v>
      </c>
      <c r="H1177">
        <v>4.6338999999999997</v>
      </c>
      <c r="K1177" s="1"/>
      <c r="L1177" s="37">
        <f>IF(H1177&gt;30,QUOTIENT(H1177,30)*VLOOKUP(D1177,'报价表-配送'!$B$16:$I$21,8,0),0)+IF(AND(MOD(H1177,30)&gt;18,MOD(H1177,30)&lt;=30),1,0)*VLOOKUP(D1177,'报价表-配送'!$B$16:$I$21,8,0)+IF(AND(MOD(H1177,30)&gt;8,MOD(H1177,30)&lt;=18),1*VLOOKUP(D1177,'报价表-配送'!$B$16:$I$21,7,0),0)+IF(AND(MOD(H1177,30)&lt;=8,MOD(H1177,30)&gt;2.5),1,0)*VLOOKUP(D1177,'报价表-配送'!$B$16:$I$21,6,0)+IF(AND(MOD(H1177,30)&lt;=2.5,MOD(H1177,30)&gt;=1.5),1,0)*VLOOKUP(D1177,'报价表-配送'!$B$16:$I$21,5,0)</f>
        <v>0</v>
      </c>
      <c r="M1177" s="39">
        <f>IF(AND(MOD(H1177,30)&lt;1.5,MOD(H1177,30)&gt;=0.5),H1177,0)*VLOOKUP(D1177,'报价表-配送'!$B$16:$I$21,4,0)*1000+IF(AND(MOD(H1177,30)&lt;0.5,MOD(H1177,30)&gt;=0.02),H1177,0)*VLOOKUP(D1177,'报价表-配送'!$B$16:$I$21,3,0)*1000+IF(AND(MOD(H1177,30)&lt;0.02),H1177,0)*VLOOKUP(D1177,'报价表-配送'!$B$16:$I$21,2,0)*1000</f>
        <v>0</v>
      </c>
      <c r="N1177" s="38">
        <f t="shared" si="17"/>
        <v>0</v>
      </c>
    </row>
    <row r="1178" spans="1:14" x14ac:dyDescent="0.25">
      <c r="A1178" t="s">
        <v>82</v>
      </c>
      <c r="B1178" s="43" t="s">
        <v>142</v>
      </c>
      <c r="C1178" s="62">
        <f>VLOOKUP(B1178,合并仓明细!$D$2:$F$74,3,0)</f>
        <v>73</v>
      </c>
      <c r="D1178" t="s">
        <v>393</v>
      </c>
      <c r="E1178" s="43" t="s">
        <v>295</v>
      </c>
      <c r="F1178" t="s">
        <v>66</v>
      </c>
      <c r="G1178" s="42">
        <v>190.98</v>
      </c>
      <c r="H1178">
        <v>0.19097999999999998</v>
      </c>
      <c r="K1178" s="1"/>
      <c r="L1178" s="37">
        <f>IF(H1178&gt;30,QUOTIENT(H1178,30)*VLOOKUP(D1178,'报价表-配送'!$B$16:$I$21,8,0),0)+IF(AND(MOD(H1178,30)&gt;18,MOD(H1178,30)&lt;=30),1,0)*VLOOKUP(D1178,'报价表-配送'!$B$16:$I$21,8,0)+IF(AND(MOD(H1178,30)&gt;8,MOD(H1178,30)&lt;=18),1*VLOOKUP(D1178,'报价表-配送'!$B$16:$I$21,7,0),0)+IF(AND(MOD(H1178,30)&lt;=8,MOD(H1178,30)&gt;2.5),1,0)*VLOOKUP(D1178,'报价表-配送'!$B$16:$I$21,6,0)+IF(AND(MOD(H1178,30)&lt;=2.5,MOD(H1178,30)&gt;=1.5),1,0)*VLOOKUP(D1178,'报价表-配送'!$B$16:$I$21,5,0)</f>
        <v>0</v>
      </c>
      <c r="M1178" s="39">
        <f>IF(AND(MOD(H1178,30)&lt;1.5,MOD(H1178,30)&gt;=0.5),H1178,0)*VLOOKUP(D1178,'报价表-配送'!$B$16:$I$21,4,0)*1000+IF(AND(MOD(H1178,30)&lt;0.5,MOD(H1178,30)&gt;=0.02),H1178,0)*VLOOKUP(D1178,'报价表-配送'!$B$16:$I$21,3,0)*1000+IF(AND(MOD(H1178,30)&lt;0.02),H1178,0)*VLOOKUP(D1178,'报价表-配送'!$B$16:$I$21,2,0)*1000</f>
        <v>0</v>
      </c>
      <c r="N1178" s="38">
        <f t="shared" ref="N1178:N1241" si="18">SUM(I1178:M1178)</f>
        <v>0</v>
      </c>
    </row>
    <row r="1179" spans="1:14" x14ac:dyDescent="0.25">
      <c r="A1179" t="s">
        <v>82</v>
      </c>
      <c r="B1179" s="43" t="s">
        <v>142</v>
      </c>
      <c r="C1179" s="62">
        <f>VLOOKUP(B1179,合并仓明细!$D$2:$F$74,3,0)</f>
        <v>73</v>
      </c>
      <c r="D1179" t="s">
        <v>393</v>
      </c>
      <c r="E1179" s="43" t="s">
        <v>296</v>
      </c>
      <c r="F1179" t="s">
        <v>66</v>
      </c>
      <c r="G1179" s="42">
        <v>167.6</v>
      </c>
      <c r="H1179">
        <v>0.1676</v>
      </c>
      <c r="K1179" s="1"/>
      <c r="L1179" s="37">
        <f>IF(H1179&gt;30,QUOTIENT(H1179,30)*VLOOKUP(D1179,'报价表-配送'!$B$16:$I$21,8,0),0)+IF(AND(MOD(H1179,30)&gt;18,MOD(H1179,30)&lt;=30),1,0)*VLOOKUP(D1179,'报价表-配送'!$B$16:$I$21,8,0)+IF(AND(MOD(H1179,30)&gt;8,MOD(H1179,30)&lt;=18),1*VLOOKUP(D1179,'报价表-配送'!$B$16:$I$21,7,0),0)+IF(AND(MOD(H1179,30)&lt;=8,MOD(H1179,30)&gt;2.5),1,0)*VLOOKUP(D1179,'报价表-配送'!$B$16:$I$21,6,0)+IF(AND(MOD(H1179,30)&lt;=2.5,MOD(H1179,30)&gt;=1.5),1,0)*VLOOKUP(D1179,'报价表-配送'!$B$16:$I$21,5,0)</f>
        <v>0</v>
      </c>
      <c r="M1179" s="39">
        <f>IF(AND(MOD(H1179,30)&lt;1.5,MOD(H1179,30)&gt;=0.5),H1179,0)*VLOOKUP(D1179,'报价表-配送'!$B$16:$I$21,4,0)*1000+IF(AND(MOD(H1179,30)&lt;0.5,MOD(H1179,30)&gt;=0.02),H1179,0)*VLOOKUP(D1179,'报价表-配送'!$B$16:$I$21,3,0)*1000+IF(AND(MOD(H1179,30)&lt;0.02),H1179,0)*VLOOKUP(D1179,'报价表-配送'!$B$16:$I$21,2,0)*1000</f>
        <v>0</v>
      </c>
      <c r="N1179" s="38">
        <f t="shared" si="18"/>
        <v>0</v>
      </c>
    </row>
    <row r="1180" spans="1:14" x14ac:dyDescent="0.25">
      <c r="A1180" t="s">
        <v>82</v>
      </c>
      <c r="B1180" s="43" t="s">
        <v>142</v>
      </c>
      <c r="C1180" s="62">
        <f>VLOOKUP(B1180,合并仓明细!$D$2:$F$74,3,0)</f>
        <v>73</v>
      </c>
      <c r="D1180" t="s">
        <v>393</v>
      </c>
      <c r="E1180" s="43" t="s">
        <v>297</v>
      </c>
      <c r="F1180" t="s">
        <v>67</v>
      </c>
      <c r="G1180" s="42">
        <v>5626.33</v>
      </c>
      <c r="H1180">
        <v>5.81813</v>
      </c>
      <c r="I1180" s="38">
        <f>IF(H1180&gt;30,QUOTIENT(H1180,30)*VLOOKUP(D1180,'报价表-配送'!$B$16:$I$21,8,0),0)+IF(AND(MOD(H1180,30)&gt;18,MOD(H1180,30)&lt;=30),1,0)*VLOOKUP(D1180,'报价表-配送'!$B$16:$I$21,8,0)</f>
        <v>0</v>
      </c>
      <c r="J1180" s="38">
        <f>IF(AND(MOD(H1180,30)&gt;8,MOD(H1180,30)&lt;=18),1*VLOOKUP(D1180,'报价表-配送'!$B$16:$I$21,7,0),0)</f>
        <v>0</v>
      </c>
      <c r="K1180" s="38">
        <f>IF(AND(MOD(H1180,30)&lt;=8,MOD(H1180,30)&gt;0),1,0)*VLOOKUP(D1180,'报价表-配送'!$B$16:$I$21,6,0)</f>
        <v>0</v>
      </c>
      <c r="L1180" s="33"/>
      <c r="M1180" s="1"/>
      <c r="N1180" s="38">
        <f t="shared" si="18"/>
        <v>0</v>
      </c>
    </row>
    <row r="1181" spans="1:14" x14ac:dyDescent="0.25">
      <c r="A1181" t="s">
        <v>82</v>
      </c>
      <c r="B1181" s="43" t="s">
        <v>142</v>
      </c>
      <c r="C1181" s="62">
        <f>VLOOKUP(B1181,合并仓明细!$D$2:$F$74,3,0)</f>
        <v>73</v>
      </c>
      <c r="D1181" t="s">
        <v>393</v>
      </c>
      <c r="E1181" s="43" t="s">
        <v>297</v>
      </c>
      <c r="F1181" t="s">
        <v>66</v>
      </c>
      <c r="G1181" s="42">
        <v>191.8</v>
      </c>
      <c r="H1181"/>
      <c r="K1181" s="1"/>
      <c r="L1181" s="33"/>
      <c r="M1181" s="1"/>
      <c r="N1181" s="38">
        <f t="shared" si="18"/>
        <v>0</v>
      </c>
    </row>
    <row r="1182" spans="1:14" x14ac:dyDescent="0.25">
      <c r="A1182" t="s">
        <v>82</v>
      </c>
      <c r="B1182" s="43" t="s">
        <v>142</v>
      </c>
      <c r="C1182" s="62">
        <f>VLOOKUP(B1182,合并仓明细!$D$2:$F$74,3,0)</f>
        <v>73</v>
      </c>
      <c r="D1182" t="s">
        <v>393</v>
      </c>
      <c r="E1182" s="43" t="s">
        <v>298</v>
      </c>
      <c r="F1182" t="s">
        <v>66</v>
      </c>
      <c r="G1182" s="42">
        <v>213.08</v>
      </c>
      <c r="H1182">
        <v>0.21308000000000002</v>
      </c>
      <c r="K1182" s="1"/>
      <c r="L1182" s="37">
        <f>IF(H1182&gt;30,QUOTIENT(H1182,30)*VLOOKUP(D1182,'报价表-配送'!$B$16:$I$21,8,0),0)+IF(AND(MOD(H1182,30)&gt;18,MOD(H1182,30)&lt;=30),1,0)*VLOOKUP(D1182,'报价表-配送'!$B$16:$I$21,8,0)+IF(AND(MOD(H1182,30)&gt;8,MOD(H1182,30)&lt;=18),1*VLOOKUP(D1182,'报价表-配送'!$B$16:$I$21,7,0),0)+IF(AND(MOD(H1182,30)&lt;=8,MOD(H1182,30)&gt;2.5),1,0)*VLOOKUP(D1182,'报价表-配送'!$B$16:$I$21,6,0)+IF(AND(MOD(H1182,30)&lt;=2.5,MOD(H1182,30)&gt;=1.5),1,0)*VLOOKUP(D1182,'报价表-配送'!$B$16:$I$21,5,0)</f>
        <v>0</v>
      </c>
      <c r="M1182" s="39">
        <f>IF(AND(MOD(H1182,30)&lt;1.5,MOD(H1182,30)&gt;=0.5),H1182,0)*VLOOKUP(D1182,'报价表-配送'!$B$16:$I$21,4,0)*1000+IF(AND(MOD(H1182,30)&lt;0.5,MOD(H1182,30)&gt;=0.02),H1182,0)*VLOOKUP(D1182,'报价表-配送'!$B$16:$I$21,3,0)*1000+IF(AND(MOD(H1182,30)&lt;0.02),H1182,0)*VLOOKUP(D1182,'报价表-配送'!$B$16:$I$21,2,0)*1000</f>
        <v>0</v>
      </c>
      <c r="N1182" s="38">
        <f t="shared" si="18"/>
        <v>0</v>
      </c>
    </row>
    <row r="1183" spans="1:14" x14ac:dyDescent="0.25">
      <c r="A1183" t="s">
        <v>82</v>
      </c>
      <c r="B1183" s="43" t="s">
        <v>142</v>
      </c>
      <c r="C1183" s="62">
        <f>VLOOKUP(B1183,合并仓明细!$D$2:$F$74,3,0)</f>
        <v>73</v>
      </c>
      <c r="D1183" t="s">
        <v>393</v>
      </c>
      <c r="E1183" s="43" t="s">
        <v>327</v>
      </c>
      <c r="F1183" t="s">
        <v>66</v>
      </c>
      <c r="G1183" s="42">
        <v>1072.1600000000001</v>
      </c>
      <c r="H1183">
        <v>1.07216</v>
      </c>
      <c r="K1183" s="1"/>
      <c r="L1183" s="37">
        <f>IF(H1183&gt;30,QUOTIENT(H1183,30)*VLOOKUP(D1183,'报价表-配送'!$B$16:$I$21,8,0),0)+IF(AND(MOD(H1183,30)&gt;18,MOD(H1183,30)&lt;=30),1,0)*VLOOKUP(D1183,'报价表-配送'!$B$16:$I$21,8,0)+IF(AND(MOD(H1183,30)&gt;8,MOD(H1183,30)&lt;=18),1*VLOOKUP(D1183,'报价表-配送'!$B$16:$I$21,7,0),0)+IF(AND(MOD(H1183,30)&lt;=8,MOD(H1183,30)&gt;2.5),1,0)*VLOOKUP(D1183,'报价表-配送'!$B$16:$I$21,6,0)+IF(AND(MOD(H1183,30)&lt;=2.5,MOD(H1183,30)&gt;=1.5),1,0)*VLOOKUP(D1183,'报价表-配送'!$B$16:$I$21,5,0)</f>
        <v>0</v>
      </c>
      <c r="M1183" s="39">
        <f>IF(AND(MOD(H1183,30)&lt;1.5,MOD(H1183,30)&gt;=0.5),H1183,0)*VLOOKUP(D1183,'报价表-配送'!$B$16:$I$21,4,0)*1000+IF(AND(MOD(H1183,30)&lt;0.5,MOD(H1183,30)&gt;=0.02),H1183,0)*VLOOKUP(D1183,'报价表-配送'!$B$16:$I$21,3,0)*1000+IF(AND(MOD(H1183,30)&lt;0.02),H1183,0)*VLOOKUP(D1183,'报价表-配送'!$B$16:$I$21,2,0)*1000</f>
        <v>0</v>
      </c>
      <c r="N1183" s="38">
        <f t="shared" si="18"/>
        <v>0</v>
      </c>
    </row>
    <row r="1184" spans="1:14" x14ac:dyDescent="0.25">
      <c r="A1184" t="s">
        <v>82</v>
      </c>
      <c r="B1184" s="43" t="s">
        <v>142</v>
      </c>
      <c r="C1184" s="62">
        <f>VLOOKUP(B1184,合并仓明细!$D$2:$F$74,3,0)</f>
        <v>73</v>
      </c>
      <c r="D1184" t="s">
        <v>393</v>
      </c>
      <c r="E1184" s="43" t="s">
        <v>343</v>
      </c>
      <c r="F1184" t="s">
        <v>66</v>
      </c>
      <c r="G1184" s="42">
        <v>12.4</v>
      </c>
      <c r="H1184">
        <v>1.24E-2</v>
      </c>
      <c r="K1184" s="1"/>
      <c r="L1184" s="37">
        <f>IF(H1184&gt;30,QUOTIENT(H1184,30)*VLOOKUP(D1184,'报价表-配送'!$B$16:$I$21,8,0),0)+IF(AND(MOD(H1184,30)&gt;18,MOD(H1184,30)&lt;=30),1,0)*VLOOKUP(D1184,'报价表-配送'!$B$16:$I$21,8,0)+IF(AND(MOD(H1184,30)&gt;8,MOD(H1184,30)&lt;=18),1*VLOOKUP(D1184,'报价表-配送'!$B$16:$I$21,7,0),0)+IF(AND(MOD(H1184,30)&lt;=8,MOD(H1184,30)&gt;2.5),1,0)*VLOOKUP(D1184,'报价表-配送'!$B$16:$I$21,6,0)+IF(AND(MOD(H1184,30)&lt;=2.5,MOD(H1184,30)&gt;=1.5),1,0)*VLOOKUP(D1184,'报价表-配送'!$B$16:$I$21,5,0)</f>
        <v>0</v>
      </c>
      <c r="M1184" s="39">
        <f>IF(AND(MOD(H1184,30)&lt;1.5,MOD(H1184,30)&gt;=0.5),H1184,0)*VLOOKUP(D1184,'报价表-配送'!$B$16:$I$21,4,0)*1000+IF(AND(MOD(H1184,30)&lt;0.5,MOD(H1184,30)&gt;=0.02),H1184,0)*VLOOKUP(D1184,'报价表-配送'!$B$16:$I$21,3,0)*1000+IF(AND(MOD(H1184,30)&lt;0.02),H1184,0)*VLOOKUP(D1184,'报价表-配送'!$B$16:$I$21,2,0)*1000</f>
        <v>0</v>
      </c>
      <c r="N1184" s="38">
        <f t="shared" si="18"/>
        <v>0</v>
      </c>
    </row>
    <row r="1185" spans="1:14" x14ac:dyDescent="0.25">
      <c r="A1185" t="s">
        <v>82</v>
      </c>
      <c r="B1185" s="43" t="s">
        <v>142</v>
      </c>
      <c r="C1185" s="62">
        <f>VLOOKUP(B1185,合并仓明细!$D$2:$F$74,3,0)</f>
        <v>73</v>
      </c>
      <c r="D1185" t="s">
        <v>393</v>
      </c>
      <c r="E1185" s="43" t="s">
        <v>300</v>
      </c>
      <c r="F1185" t="s">
        <v>66</v>
      </c>
      <c r="G1185" s="42">
        <v>3</v>
      </c>
      <c r="H1185">
        <v>3.0000000000000001E-3</v>
      </c>
      <c r="K1185" s="1"/>
      <c r="L1185" s="37">
        <f>IF(H1185&gt;30,QUOTIENT(H1185,30)*VLOOKUP(D1185,'报价表-配送'!$B$16:$I$21,8,0),0)+IF(AND(MOD(H1185,30)&gt;18,MOD(H1185,30)&lt;=30),1,0)*VLOOKUP(D1185,'报价表-配送'!$B$16:$I$21,8,0)+IF(AND(MOD(H1185,30)&gt;8,MOD(H1185,30)&lt;=18),1*VLOOKUP(D1185,'报价表-配送'!$B$16:$I$21,7,0),0)+IF(AND(MOD(H1185,30)&lt;=8,MOD(H1185,30)&gt;2.5),1,0)*VLOOKUP(D1185,'报价表-配送'!$B$16:$I$21,6,0)+IF(AND(MOD(H1185,30)&lt;=2.5,MOD(H1185,30)&gt;=1.5),1,0)*VLOOKUP(D1185,'报价表-配送'!$B$16:$I$21,5,0)</f>
        <v>0</v>
      </c>
      <c r="M1185" s="39">
        <f>IF(AND(MOD(H1185,30)&lt;1.5,MOD(H1185,30)&gt;=0.5),H1185,0)*VLOOKUP(D1185,'报价表-配送'!$B$16:$I$21,4,0)*1000+IF(AND(MOD(H1185,30)&lt;0.5,MOD(H1185,30)&gt;=0.02),H1185,0)*VLOOKUP(D1185,'报价表-配送'!$B$16:$I$21,3,0)*1000+IF(AND(MOD(H1185,30)&lt;0.02),H1185,0)*VLOOKUP(D1185,'报价表-配送'!$B$16:$I$21,2,0)*1000</f>
        <v>0</v>
      </c>
      <c r="N1185" s="38">
        <f t="shared" si="18"/>
        <v>0</v>
      </c>
    </row>
    <row r="1186" spans="1:14" x14ac:dyDescent="0.25">
      <c r="A1186" t="s">
        <v>82</v>
      </c>
      <c r="B1186" s="43" t="s">
        <v>142</v>
      </c>
      <c r="C1186" s="62">
        <f>VLOOKUP(B1186,合并仓明细!$D$2:$F$74,3,0)</f>
        <v>73</v>
      </c>
      <c r="D1186" t="s">
        <v>393</v>
      </c>
      <c r="E1186" s="43" t="s">
        <v>321</v>
      </c>
      <c r="F1186" t="s">
        <v>67</v>
      </c>
      <c r="G1186" s="42">
        <v>1372.87</v>
      </c>
      <c r="H1186">
        <v>1.7910200000000001</v>
      </c>
      <c r="I1186" s="38">
        <f>IF(H1186&gt;30,QUOTIENT(H1186,30)*VLOOKUP(D1186,'报价表-配送'!$B$16:$I$21,8,0),0)+IF(AND(MOD(H1186,30)&gt;18,MOD(H1186,30)&lt;=30),1,0)*VLOOKUP(D1186,'报价表-配送'!$B$16:$I$21,8,0)</f>
        <v>0</v>
      </c>
      <c r="J1186" s="38">
        <f>IF(AND(MOD(H1186,30)&gt;8,MOD(H1186,30)&lt;=18),1*VLOOKUP(D1186,'报价表-配送'!$B$16:$I$21,7,0),0)</f>
        <v>0</v>
      </c>
      <c r="K1186" s="38">
        <f>IF(AND(MOD(H1186,30)&lt;=8,MOD(H1186,30)&gt;0),1,0)*VLOOKUP(D1186,'报价表-配送'!$B$16:$I$21,6,0)</f>
        <v>0</v>
      </c>
      <c r="L1186" s="33"/>
      <c r="M1186" s="1"/>
      <c r="N1186" s="38">
        <f t="shared" si="18"/>
        <v>0</v>
      </c>
    </row>
    <row r="1187" spans="1:14" x14ac:dyDescent="0.25">
      <c r="A1187" t="s">
        <v>82</v>
      </c>
      <c r="B1187" s="43" t="s">
        <v>142</v>
      </c>
      <c r="C1187" s="62">
        <f>VLOOKUP(B1187,合并仓明细!$D$2:$F$74,3,0)</f>
        <v>73</v>
      </c>
      <c r="D1187" t="s">
        <v>393</v>
      </c>
      <c r="E1187" s="43" t="s">
        <v>321</v>
      </c>
      <c r="F1187" t="s">
        <v>66</v>
      </c>
      <c r="G1187" s="42">
        <v>418.15</v>
      </c>
      <c r="H1187"/>
      <c r="K1187" s="1"/>
      <c r="L1187" s="33"/>
      <c r="M1187" s="1"/>
      <c r="N1187" s="38">
        <f t="shared" si="18"/>
        <v>0</v>
      </c>
    </row>
    <row r="1188" spans="1:14" x14ac:dyDescent="0.25">
      <c r="A1188" t="s">
        <v>82</v>
      </c>
      <c r="B1188" s="43" t="s">
        <v>142</v>
      </c>
      <c r="C1188" s="62">
        <f>VLOOKUP(B1188,合并仓明细!$D$2:$F$74,3,0)</f>
        <v>73</v>
      </c>
      <c r="D1188" t="s">
        <v>393</v>
      </c>
      <c r="E1188" s="43" t="s">
        <v>365</v>
      </c>
      <c r="F1188" t="s">
        <v>66</v>
      </c>
      <c r="G1188" s="42">
        <v>4.5</v>
      </c>
      <c r="H1188">
        <v>4.4999999999999997E-3</v>
      </c>
      <c r="K1188" s="1"/>
      <c r="L1188" s="37">
        <f>IF(H1188&gt;30,QUOTIENT(H1188,30)*VLOOKUP(D1188,'报价表-配送'!$B$16:$I$21,8,0),0)+IF(AND(MOD(H1188,30)&gt;18,MOD(H1188,30)&lt;=30),1,0)*VLOOKUP(D1188,'报价表-配送'!$B$16:$I$21,8,0)+IF(AND(MOD(H1188,30)&gt;8,MOD(H1188,30)&lt;=18),1*VLOOKUP(D1188,'报价表-配送'!$B$16:$I$21,7,0),0)+IF(AND(MOD(H1188,30)&lt;=8,MOD(H1188,30)&gt;2.5),1,0)*VLOOKUP(D1188,'报价表-配送'!$B$16:$I$21,6,0)+IF(AND(MOD(H1188,30)&lt;=2.5,MOD(H1188,30)&gt;=1.5),1,0)*VLOOKUP(D1188,'报价表-配送'!$B$16:$I$21,5,0)</f>
        <v>0</v>
      </c>
      <c r="M1188" s="39">
        <f>IF(AND(MOD(H1188,30)&lt;1.5,MOD(H1188,30)&gt;=0.5),H1188,0)*VLOOKUP(D1188,'报价表-配送'!$B$16:$I$21,4,0)*1000+IF(AND(MOD(H1188,30)&lt;0.5,MOD(H1188,30)&gt;=0.02),H1188,0)*VLOOKUP(D1188,'报价表-配送'!$B$16:$I$21,3,0)*1000+IF(AND(MOD(H1188,30)&lt;0.02),H1188,0)*VLOOKUP(D1188,'报价表-配送'!$B$16:$I$21,2,0)*1000</f>
        <v>0</v>
      </c>
      <c r="N1188" s="38">
        <f t="shared" si="18"/>
        <v>0</v>
      </c>
    </row>
    <row r="1189" spans="1:14" x14ac:dyDescent="0.25">
      <c r="A1189" t="s">
        <v>82</v>
      </c>
      <c r="B1189" s="43" t="s">
        <v>142</v>
      </c>
      <c r="C1189" s="62">
        <f>VLOOKUP(B1189,合并仓明细!$D$2:$F$74,3,0)</f>
        <v>73</v>
      </c>
      <c r="D1189" t="s">
        <v>393</v>
      </c>
      <c r="E1189" s="43" t="s">
        <v>304</v>
      </c>
      <c r="F1189" t="s">
        <v>66</v>
      </c>
      <c r="G1189" s="42">
        <v>77.860000000000014</v>
      </c>
      <c r="H1189">
        <v>7.7860000000000013E-2</v>
      </c>
      <c r="K1189" s="1"/>
      <c r="L1189" s="37">
        <f>IF(H1189&gt;30,QUOTIENT(H1189,30)*VLOOKUP(D1189,'报价表-配送'!$B$16:$I$21,8,0),0)+IF(AND(MOD(H1189,30)&gt;18,MOD(H1189,30)&lt;=30),1,0)*VLOOKUP(D1189,'报价表-配送'!$B$16:$I$21,8,0)+IF(AND(MOD(H1189,30)&gt;8,MOD(H1189,30)&lt;=18),1*VLOOKUP(D1189,'报价表-配送'!$B$16:$I$21,7,0),0)+IF(AND(MOD(H1189,30)&lt;=8,MOD(H1189,30)&gt;2.5),1,0)*VLOOKUP(D1189,'报价表-配送'!$B$16:$I$21,6,0)+IF(AND(MOD(H1189,30)&lt;=2.5,MOD(H1189,30)&gt;=1.5),1,0)*VLOOKUP(D1189,'报价表-配送'!$B$16:$I$21,5,0)</f>
        <v>0</v>
      </c>
      <c r="M1189" s="39">
        <f>IF(AND(MOD(H1189,30)&lt;1.5,MOD(H1189,30)&gt;=0.5),H1189,0)*VLOOKUP(D1189,'报价表-配送'!$B$16:$I$21,4,0)*1000+IF(AND(MOD(H1189,30)&lt;0.5,MOD(H1189,30)&gt;=0.02),H1189,0)*VLOOKUP(D1189,'报价表-配送'!$B$16:$I$21,3,0)*1000+IF(AND(MOD(H1189,30)&lt;0.02),H1189,0)*VLOOKUP(D1189,'报价表-配送'!$B$16:$I$21,2,0)*1000</f>
        <v>0</v>
      </c>
      <c r="N1189" s="38">
        <f t="shared" si="18"/>
        <v>0</v>
      </c>
    </row>
    <row r="1190" spans="1:14" x14ac:dyDescent="0.25">
      <c r="A1190" t="s">
        <v>82</v>
      </c>
      <c r="B1190" s="43" t="s">
        <v>142</v>
      </c>
      <c r="C1190" s="62">
        <f>VLOOKUP(B1190,合并仓明细!$D$2:$F$74,3,0)</f>
        <v>73</v>
      </c>
      <c r="D1190" t="s">
        <v>393</v>
      </c>
      <c r="E1190" s="43" t="s">
        <v>253</v>
      </c>
      <c r="F1190" t="s">
        <v>66</v>
      </c>
      <c r="G1190" s="42">
        <v>50</v>
      </c>
      <c r="H1190">
        <v>0.05</v>
      </c>
      <c r="K1190" s="1"/>
      <c r="L1190" s="37">
        <f>IF(H1190&gt;30,QUOTIENT(H1190,30)*VLOOKUP(D1190,'报价表-配送'!$B$16:$I$21,8,0),0)+IF(AND(MOD(H1190,30)&gt;18,MOD(H1190,30)&lt;=30),1,0)*VLOOKUP(D1190,'报价表-配送'!$B$16:$I$21,8,0)+IF(AND(MOD(H1190,30)&gt;8,MOD(H1190,30)&lt;=18),1*VLOOKUP(D1190,'报价表-配送'!$B$16:$I$21,7,0),0)+IF(AND(MOD(H1190,30)&lt;=8,MOD(H1190,30)&gt;2.5),1,0)*VLOOKUP(D1190,'报价表-配送'!$B$16:$I$21,6,0)+IF(AND(MOD(H1190,30)&lt;=2.5,MOD(H1190,30)&gt;=1.5),1,0)*VLOOKUP(D1190,'报价表-配送'!$B$16:$I$21,5,0)</f>
        <v>0</v>
      </c>
      <c r="M1190" s="39">
        <f>IF(AND(MOD(H1190,30)&lt;1.5,MOD(H1190,30)&gt;=0.5),H1190,0)*VLOOKUP(D1190,'报价表-配送'!$B$16:$I$21,4,0)*1000+IF(AND(MOD(H1190,30)&lt;0.5,MOD(H1190,30)&gt;=0.02),H1190,0)*VLOOKUP(D1190,'报价表-配送'!$B$16:$I$21,3,0)*1000+IF(AND(MOD(H1190,30)&lt;0.02),H1190,0)*VLOOKUP(D1190,'报价表-配送'!$B$16:$I$21,2,0)*1000</f>
        <v>0</v>
      </c>
      <c r="N1190" s="38">
        <f t="shared" si="18"/>
        <v>0</v>
      </c>
    </row>
    <row r="1191" spans="1:14" x14ac:dyDescent="0.25">
      <c r="A1191" t="s">
        <v>82</v>
      </c>
      <c r="B1191" s="43" t="s">
        <v>144</v>
      </c>
      <c r="C1191" s="62">
        <f>VLOOKUP(B1191,合并仓明细!$D$2:$F$74,3,0)</f>
        <v>487</v>
      </c>
      <c r="D1191" s="44" t="s">
        <v>25</v>
      </c>
      <c r="E1191" s="43" t="s">
        <v>258</v>
      </c>
      <c r="F1191" t="s">
        <v>66</v>
      </c>
      <c r="G1191" s="42">
        <v>295.73</v>
      </c>
      <c r="H1191">
        <v>0.29572999999999999</v>
      </c>
      <c r="K1191" s="1"/>
      <c r="L1191" s="37">
        <f>IF(H1191&gt;30,QUOTIENT(H1191,30)*VLOOKUP(D1191,'报价表-配送'!$B$16:$I$21,8,0),0)+IF(AND(MOD(H1191,30)&gt;18,MOD(H1191,30)&lt;=30),1,0)*VLOOKUP(D1191,'报价表-配送'!$B$16:$I$21,8,0)+IF(AND(MOD(H1191,30)&gt;8,MOD(H1191,30)&lt;=18),1*VLOOKUP(D1191,'报价表-配送'!$B$16:$I$21,7,0),0)+IF(AND(MOD(H1191,30)&lt;=8,MOD(H1191,30)&gt;2.5),1,0)*VLOOKUP(D1191,'报价表-配送'!$B$16:$I$21,6,0)+IF(AND(MOD(H1191,30)&lt;=2.5,MOD(H1191,30)&gt;=1.5),1,0)*VLOOKUP(D1191,'报价表-配送'!$B$16:$I$21,5,0)</f>
        <v>0</v>
      </c>
      <c r="M1191" s="39">
        <f>IF(AND(MOD(H1191,30)&lt;1.5,MOD(H1191,30)&gt;=0.5),H1191,0)*VLOOKUP(D1191,'报价表-配送'!$B$16:$I$21,4,0)*1000+IF(AND(MOD(H1191,30)&lt;0.5,MOD(H1191,30)&gt;=0.02),H1191,0)*VLOOKUP(D1191,'报价表-配送'!$B$16:$I$21,3,0)*1000+IF(AND(MOD(H1191,30)&lt;0.02),H1191,0)*VLOOKUP(D1191,'报价表-配送'!$B$16:$I$21,2,0)*1000</f>
        <v>0</v>
      </c>
      <c r="N1191" s="38">
        <f t="shared" si="18"/>
        <v>0</v>
      </c>
    </row>
    <row r="1192" spans="1:14" x14ac:dyDescent="0.25">
      <c r="A1192" t="s">
        <v>82</v>
      </c>
      <c r="B1192" s="43" t="s">
        <v>144</v>
      </c>
      <c r="C1192" s="62">
        <f>VLOOKUP(B1192,合并仓明细!$D$2:$F$74,3,0)</f>
        <v>487</v>
      </c>
      <c r="D1192" s="44" t="s">
        <v>25</v>
      </c>
      <c r="E1192" s="43" t="s">
        <v>335</v>
      </c>
      <c r="F1192" t="s">
        <v>66</v>
      </c>
      <c r="G1192" s="42">
        <v>15.44</v>
      </c>
      <c r="H1192">
        <v>1.5439999999999999E-2</v>
      </c>
      <c r="K1192" s="1"/>
      <c r="L1192" s="37">
        <f>IF(H1192&gt;30,QUOTIENT(H1192,30)*VLOOKUP(D1192,'报价表-配送'!$B$16:$I$21,8,0),0)+IF(AND(MOD(H1192,30)&gt;18,MOD(H1192,30)&lt;=30),1,0)*VLOOKUP(D1192,'报价表-配送'!$B$16:$I$21,8,0)+IF(AND(MOD(H1192,30)&gt;8,MOD(H1192,30)&lt;=18),1*VLOOKUP(D1192,'报价表-配送'!$B$16:$I$21,7,0),0)+IF(AND(MOD(H1192,30)&lt;=8,MOD(H1192,30)&gt;2.5),1,0)*VLOOKUP(D1192,'报价表-配送'!$B$16:$I$21,6,0)+IF(AND(MOD(H1192,30)&lt;=2.5,MOD(H1192,30)&gt;=1.5),1,0)*VLOOKUP(D1192,'报价表-配送'!$B$16:$I$21,5,0)</f>
        <v>0</v>
      </c>
      <c r="M1192" s="39">
        <f>IF(AND(MOD(H1192,30)&lt;1.5,MOD(H1192,30)&gt;=0.5),H1192,0)*VLOOKUP(D1192,'报价表-配送'!$B$16:$I$21,4,0)*1000+IF(AND(MOD(H1192,30)&lt;0.5,MOD(H1192,30)&gt;=0.02),H1192,0)*VLOOKUP(D1192,'报价表-配送'!$B$16:$I$21,3,0)*1000+IF(AND(MOD(H1192,30)&lt;0.02),H1192,0)*VLOOKUP(D1192,'报价表-配送'!$B$16:$I$21,2,0)*1000</f>
        <v>0</v>
      </c>
      <c r="N1192" s="38">
        <f t="shared" si="18"/>
        <v>0</v>
      </c>
    </row>
    <row r="1193" spans="1:14" x14ac:dyDescent="0.25">
      <c r="A1193" t="s">
        <v>82</v>
      </c>
      <c r="B1193" s="43" t="s">
        <v>144</v>
      </c>
      <c r="C1193" s="62">
        <f>VLOOKUP(B1193,合并仓明细!$D$2:$F$74,3,0)</f>
        <v>487</v>
      </c>
      <c r="D1193" s="44" t="s">
        <v>25</v>
      </c>
      <c r="E1193" s="43" t="s">
        <v>269</v>
      </c>
      <c r="F1193" t="s">
        <v>66</v>
      </c>
      <c r="G1193" s="42">
        <v>17.36</v>
      </c>
      <c r="H1193">
        <v>1.736E-2</v>
      </c>
      <c r="K1193" s="1"/>
      <c r="L1193" s="37">
        <f>IF(H1193&gt;30,QUOTIENT(H1193,30)*VLOOKUP(D1193,'报价表-配送'!$B$16:$I$21,8,0),0)+IF(AND(MOD(H1193,30)&gt;18,MOD(H1193,30)&lt;=30),1,0)*VLOOKUP(D1193,'报价表-配送'!$B$16:$I$21,8,0)+IF(AND(MOD(H1193,30)&gt;8,MOD(H1193,30)&lt;=18),1*VLOOKUP(D1193,'报价表-配送'!$B$16:$I$21,7,0),0)+IF(AND(MOD(H1193,30)&lt;=8,MOD(H1193,30)&gt;2.5),1,0)*VLOOKUP(D1193,'报价表-配送'!$B$16:$I$21,6,0)+IF(AND(MOD(H1193,30)&lt;=2.5,MOD(H1193,30)&gt;=1.5),1,0)*VLOOKUP(D1193,'报价表-配送'!$B$16:$I$21,5,0)</f>
        <v>0</v>
      </c>
      <c r="M1193" s="39">
        <f>IF(AND(MOD(H1193,30)&lt;1.5,MOD(H1193,30)&gt;=0.5),H1193,0)*VLOOKUP(D1193,'报价表-配送'!$B$16:$I$21,4,0)*1000+IF(AND(MOD(H1193,30)&lt;0.5,MOD(H1193,30)&gt;=0.02),H1193,0)*VLOOKUP(D1193,'报价表-配送'!$B$16:$I$21,3,0)*1000+IF(AND(MOD(H1193,30)&lt;0.02),H1193,0)*VLOOKUP(D1193,'报价表-配送'!$B$16:$I$21,2,0)*1000</f>
        <v>0</v>
      </c>
      <c r="N1193" s="38">
        <f t="shared" si="18"/>
        <v>0</v>
      </c>
    </row>
    <row r="1194" spans="1:14" x14ac:dyDescent="0.25">
      <c r="A1194" t="s">
        <v>82</v>
      </c>
      <c r="B1194" s="43" t="s">
        <v>144</v>
      </c>
      <c r="C1194" s="62">
        <f>VLOOKUP(B1194,合并仓明细!$D$2:$F$74,3,0)</f>
        <v>487</v>
      </c>
      <c r="D1194" s="44" t="s">
        <v>25</v>
      </c>
      <c r="E1194" s="43" t="s">
        <v>270</v>
      </c>
      <c r="F1194" t="s">
        <v>66</v>
      </c>
      <c r="G1194" s="42">
        <v>5.85</v>
      </c>
      <c r="H1194">
        <v>5.8499999999999993E-3</v>
      </c>
      <c r="K1194" s="1"/>
      <c r="L1194" s="37">
        <f>IF(H1194&gt;30,QUOTIENT(H1194,30)*VLOOKUP(D1194,'报价表-配送'!$B$16:$I$21,8,0),0)+IF(AND(MOD(H1194,30)&gt;18,MOD(H1194,30)&lt;=30),1,0)*VLOOKUP(D1194,'报价表-配送'!$B$16:$I$21,8,0)+IF(AND(MOD(H1194,30)&gt;8,MOD(H1194,30)&lt;=18),1*VLOOKUP(D1194,'报价表-配送'!$B$16:$I$21,7,0),0)+IF(AND(MOD(H1194,30)&lt;=8,MOD(H1194,30)&gt;2.5),1,0)*VLOOKUP(D1194,'报价表-配送'!$B$16:$I$21,6,0)+IF(AND(MOD(H1194,30)&lt;=2.5,MOD(H1194,30)&gt;=1.5),1,0)*VLOOKUP(D1194,'报价表-配送'!$B$16:$I$21,5,0)</f>
        <v>0</v>
      </c>
      <c r="M1194" s="39">
        <f>IF(AND(MOD(H1194,30)&lt;1.5,MOD(H1194,30)&gt;=0.5),H1194,0)*VLOOKUP(D1194,'报价表-配送'!$B$16:$I$21,4,0)*1000+IF(AND(MOD(H1194,30)&lt;0.5,MOD(H1194,30)&gt;=0.02),H1194,0)*VLOOKUP(D1194,'报价表-配送'!$B$16:$I$21,3,0)*1000+IF(AND(MOD(H1194,30)&lt;0.02),H1194,0)*VLOOKUP(D1194,'报价表-配送'!$B$16:$I$21,2,0)*1000</f>
        <v>0</v>
      </c>
      <c r="N1194" s="38">
        <f t="shared" si="18"/>
        <v>0</v>
      </c>
    </row>
    <row r="1195" spans="1:14" x14ac:dyDescent="0.25">
      <c r="A1195" t="s">
        <v>82</v>
      </c>
      <c r="B1195" s="43" t="s">
        <v>144</v>
      </c>
      <c r="C1195" s="62">
        <f>VLOOKUP(B1195,合并仓明细!$D$2:$F$74,3,0)</f>
        <v>487</v>
      </c>
      <c r="D1195" s="44" t="s">
        <v>25</v>
      </c>
      <c r="E1195" s="43" t="s">
        <v>273</v>
      </c>
      <c r="F1195" t="s">
        <v>66</v>
      </c>
      <c r="G1195" s="42">
        <v>89.17</v>
      </c>
      <c r="H1195">
        <v>8.9169999999999999E-2</v>
      </c>
      <c r="K1195" s="1"/>
      <c r="L1195" s="37">
        <f>IF(H1195&gt;30,QUOTIENT(H1195,30)*VLOOKUP(D1195,'报价表-配送'!$B$16:$I$21,8,0),0)+IF(AND(MOD(H1195,30)&gt;18,MOD(H1195,30)&lt;=30),1,0)*VLOOKUP(D1195,'报价表-配送'!$B$16:$I$21,8,0)+IF(AND(MOD(H1195,30)&gt;8,MOD(H1195,30)&lt;=18),1*VLOOKUP(D1195,'报价表-配送'!$B$16:$I$21,7,0),0)+IF(AND(MOD(H1195,30)&lt;=8,MOD(H1195,30)&gt;2.5),1,0)*VLOOKUP(D1195,'报价表-配送'!$B$16:$I$21,6,0)+IF(AND(MOD(H1195,30)&lt;=2.5,MOD(H1195,30)&gt;=1.5),1,0)*VLOOKUP(D1195,'报价表-配送'!$B$16:$I$21,5,0)</f>
        <v>0</v>
      </c>
      <c r="M1195" s="39">
        <f>IF(AND(MOD(H1195,30)&lt;1.5,MOD(H1195,30)&gt;=0.5),H1195,0)*VLOOKUP(D1195,'报价表-配送'!$B$16:$I$21,4,0)*1000+IF(AND(MOD(H1195,30)&lt;0.5,MOD(H1195,30)&gt;=0.02),H1195,0)*VLOOKUP(D1195,'报价表-配送'!$B$16:$I$21,3,0)*1000+IF(AND(MOD(H1195,30)&lt;0.02),H1195,0)*VLOOKUP(D1195,'报价表-配送'!$B$16:$I$21,2,0)*1000</f>
        <v>0</v>
      </c>
      <c r="N1195" s="38">
        <f t="shared" si="18"/>
        <v>0</v>
      </c>
    </row>
    <row r="1196" spans="1:14" x14ac:dyDescent="0.25">
      <c r="A1196" t="s">
        <v>82</v>
      </c>
      <c r="B1196" s="43" t="s">
        <v>144</v>
      </c>
      <c r="C1196" s="62">
        <f>VLOOKUP(B1196,合并仓明细!$D$2:$F$74,3,0)</f>
        <v>487</v>
      </c>
      <c r="D1196" s="44" t="s">
        <v>25</v>
      </c>
      <c r="E1196" s="43" t="s">
        <v>276</v>
      </c>
      <c r="F1196" t="s">
        <v>68</v>
      </c>
      <c r="G1196" s="42">
        <v>1075.6000000000001</v>
      </c>
      <c r="H1196">
        <v>2.6863800000000002</v>
      </c>
      <c r="I1196" s="46">
        <f>ROUNDUP(H1196/30,0)*VLOOKUP(D1196,'报价表-配送'!$B$16:$I$21,8,0)</f>
        <v>0</v>
      </c>
      <c r="K1196" s="1"/>
      <c r="L1196" s="33"/>
      <c r="M1196" s="1"/>
      <c r="N1196" s="38">
        <f t="shared" si="18"/>
        <v>0</v>
      </c>
    </row>
    <row r="1197" spans="1:14" x14ac:dyDescent="0.25">
      <c r="A1197" t="s">
        <v>82</v>
      </c>
      <c r="B1197" s="43" t="s">
        <v>144</v>
      </c>
      <c r="C1197" s="62">
        <f>VLOOKUP(B1197,合并仓明细!$D$2:$F$74,3,0)</f>
        <v>487</v>
      </c>
      <c r="D1197" s="44" t="s">
        <v>25</v>
      </c>
      <c r="E1197" s="43" t="s">
        <v>276</v>
      </c>
      <c r="F1197" t="s">
        <v>66</v>
      </c>
      <c r="G1197" s="42">
        <v>1610.7799999999997</v>
      </c>
      <c r="H1197"/>
      <c r="K1197" s="1"/>
      <c r="L1197" s="33"/>
      <c r="M1197" s="1"/>
      <c r="N1197" s="38">
        <f t="shared" si="18"/>
        <v>0</v>
      </c>
    </row>
    <row r="1198" spans="1:14" x14ac:dyDescent="0.25">
      <c r="A1198" t="s">
        <v>82</v>
      </c>
      <c r="B1198" s="43" t="s">
        <v>144</v>
      </c>
      <c r="C1198" s="62">
        <f>VLOOKUP(B1198,合并仓明细!$D$2:$F$74,3,0)</f>
        <v>487</v>
      </c>
      <c r="D1198" s="44" t="s">
        <v>25</v>
      </c>
      <c r="E1198" s="43" t="s">
        <v>277</v>
      </c>
      <c r="F1198" t="s">
        <v>66</v>
      </c>
      <c r="G1198" s="42">
        <v>8.2799999999999994</v>
      </c>
      <c r="H1198">
        <v>8.2799999999999992E-3</v>
      </c>
      <c r="K1198" s="1"/>
      <c r="L1198" s="37">
        <f>IF(H1198&gt;30,QUOTIENT(H1198,30)*VLOOKUP(D1198,'报价表-配送'!$B$16:$I$21,8,0),0)+IF(AND(MOD(H1198,30)&gt;18,MOD(H1198,30)&lt;=30),1,0)*VLOOKUP(D1198,'报价表-配送'!$B$16:$I$21,8,0)+IF(AND(MOD(H1198,30)&gt;8,MOD(H1198,30)&lt;=18),1*VLOOKUP(D1198,'报价表-配送'!$B$16:$I$21,7,0),0)+IF(AND(MOD(H1198,30)&lt;=8,MOD(H1198,30)&gt;2.5),1,0)*VLOOKUP(D1198,'报价表-配送'!$B$16:$I$21,6,0)+IF(AND(MOD(H1198,30)&lt;=2.5,MOD(H1198,30)&gt;=1.5),1,0)*VLOOKUP(D1198,'报价表-配送'!$B$16:$I$21,5,0)</f>
        <v>0</v>
      </c>
      <c r="M1198" s="39">
        <f>IF(AND(MOD(H1198,30)&lt;1.5,MOD(H1198,30)&gt;=0.5),H1198,0)*VLOOKUP(D1198,'报价表-配送'!$B$16:$I$21,4,0)*1000+IF(AND(MOD(H1198,30)&lt;0.5,MOD(H1198,30)&gt;=0.02),H1198,0)*VLOOKUP(D1198,'报价表-配送'!$B$16:$I$21,3,0)*1000+IF(AND(MOD(H1198,30)&lt;0.02),H1198,0)*VLOOKUP(D1198,'报价表-配送'!$B$16:$I$21,2,0)*1000</f>
        <v>0</v>
      </c>
      <c r="N1198" s="38">
        <f t="shared" si="18"/>
        <v>0</v>
      </c>
    </row>
    <row r="1199" spans="1:14" x14ac:dyDescent="0.25">
      <c r="A1199" t="s">
        <v>82</v>
      </c>
      <c r="B1199" s="43" t="s">
        <v>144</v>
      </c>
      <c r="C1199" s="62">
        <f>VLOOKUP(B1199,合并仓明细!$D$2:$F$74,3,0)</f>
        <v>487</v>
      </c>
      <c r="D1199" s="44" t="s">
        <v>25</v>
      </c>
      <c r="E1199" s="43" t="s">
        <v>361</v>
      </c>
      <c r="F1199" t="s">
        <v>66</v>
      </c>
      <c r="G1199" s="42">
        <v>1.8</v>
      </c>
      <c r="H1199">
        <v>1.8E-3</v>
      </c>
      <c r="K1199" s="1"/>
      <c r="L1199" s="37">
        <f>IF(H1199&gt;30,QUOTIENT(H1199,30)*VLOOKUP(D1199,'报价表-配送'!$B$16:$I$21,8,0),0)+IF(AND(MOD(H1199,30)&gt;18,MOD(H1199,30)&lt;=30),1,0)*VLOOKUP(D1199,'报价表-配送'!$B$16:$I$21,8,0)+IF(AND(MOD(H1199,30)&gt;8,MOD(H1199,30)&lt;=18),1*VLOOKUP(D1199,'报价表-配送'!$B$16:$I$21,7,0),0)+IF(AND(MOD(H1199,30)&lt;=8,MOD(H1199,30)&gt;2.5),1,0)*VLOOKUP(D1199,'报价表-配送'!$B$16:$I$21,6,0)+IF(AND(MOD(H1199,30)&lt;=2.5,MOD(H1199,30)&gt;=1.5),1,0)*VLOOKUP(D1199,'报价表-配送'!$B$16:$I$21,5,0)</f>
        <v>0</v>
      </c>
      <c r="M1199" s="39">
        <f>IF(AND(MOD(H1199,30)&lt;1.5,MOD(H1199,30)&gt;=0.5),H1199,0)*VLOOKUP(D1199,'报价表-配送'!$B$16:$I$21,4,0)*1000+IF(AND(MOD(H1199,30)&lt;0.5,MOD(H1199,30)&gt;=0.02),H1199,0)*VLOOKUP(D1199,'报价表-配送'!$B$16:$I$21,3,0)*1000+IF(AND(MOD(H1199,30)&lt;0.02),H1199,0)*VLOOKUP(D1199,'报价表-配送'!$B$16:$I$21,2,0)*1000</f>
        <v>0</v>
      </c>
      <c r="N1199" s="38">
        <f t="shared" si="18"/>
        <v>0</v>
      </c>
    </row>
    <row r="1200" spans="1:14" x14ac:dyDescent="0.25">
      <c r="A1200" t="s">
        <v>82</v>
      </c>
      <c r="B1200" s="43" t="s">
        <v>144</v>
      </c>
      <c r="C1200" s="62">
        <f>VLOOKUP(B1200,合并仓明细!$D$2:$F$74,3,0)</f>
        <v>487</v>
      </c>
      <c r="D1200" s="44" t="s">
        <v>25</v>
      </c>
      <c r="E1200" s="43" t="s">
        <v>311</v>
      </c>
      <c r="F1200" t="s">
        <v>66</v>
      </c>
      <c r="G1200" s="42">
        <v>0.38</v>
      </c>
      <c r="H1200">
        <v>3.8000000000000002E-4</v>
      </c>
      <c r="K1200" s="1"/>
      <c r="L1200" s="37">
        <f>IF(H1200&gt;30,QUOTIENT(H1200,30)*VLOOKUP(D1200,'报价表-配送'!$B$16:$I$21,8,0),0)+IF(AND(MOD(H1200,30)&gt;18,MOD(H1200,30)&lt;=30),1,0)*VLOOKUP(D1200,'报价表-配送'!$B$16:$I$21,8,0)+IF(AND(MOD(H1200,30)&gt;8,MOD(H1200,30)&lt;=18),1*VLOOKUP(D1200,'报价表-配送'!$B$16:$I$21,7,0),0)+IF(AND(MOD(H1200,30)&lt;=8,MOD(H1200,30)&gt;2.5),1,0)*VLOOKUP(D1200,'报价表-配送'!$B$16:$I$21,6,0)+IF(AND(MOD(H1200,30)&lt;=2.5,MOD(H1200,30)&gt;=1.5),1,0)*VLOOKUP(D1200,'报价表-配送'!$B$16:$I$21,5,0)</f>
        <v>0</v>
      </c>
      <c r="M1200" s="39">
        <f>IF(AND(MOD(H1200,30)&lt;1.5,MOD(H1200,30)&gt;=0.5),H1200,0)*VLOOKUP(D1200,'报价表-配送'!$B$16:$I$21,4,0)*1000+IF(AND(MOD(H1200,30)&lt;0.5,MOD(H1200,30)&gt;=0.02),H1200,0)*VLOOKUP(D1200,'报价表-配送'!$B$16:$I$21,3,0)*1000+IF(AND(MOD(H1200,30)&lt;0.02),H1200,0)*VLOOKUP(D1200,'报价表-配送'!$B$16:$I$21,2,0)*1000</f>
        <v>0</v>
      </c>
      <c r="N1200" s="38">
        <f t="shared" si="18"/>
        <v>0</v>
      </c>
    </row>
    <row r="1201" spans="1:14" x14ac:dyDescent="0.25">
      <c r="A1201" t="s">
        <v>82</v>
      </c>
      <c r="B1201" s="43" t="s">
        <v>144</v>
      </c>
      <c r="C1201" s="62">
        <f>VLOOKUP(B1201,合并仓明细!$D$2:$F$74,3,0)</f>
        <v>487</v>
      </c>
      <c r="D1201" s="44" t="s">
        <v>25</v>
      </c>
      <c r="E1201" s="43" t="s">
        <v>283</v>
      </c>
      <c r="F1201" t="s">
        <v>67</v>
      </c>
      <c r="G1201" s="42">
        <v>177.66000000000003</v>
      </c>
      <c r="H1201">
        <v>0.18497000000000002</v>
      </c>
      <c r="I1201" s="38">
        <f>IF(H1201&gt;30,QUOTIENT(H1201,30)*VLOOKUP(D1201,'报价表-配送'!$B$16:$I$21,8,0),0)+IF(AND(MOD(H1201,30)&gt;18,MOD(H1201,30)&lt;=30),1,0)*VLOOKUP(D1201,'报价表-配送'!$B$16:$I$21,8,0)</f>
        <v>0</v>
      </c>
      <c r="J1201" s="38">
        <f>IF(AND(MOD(H1201,30)&gt;8,MOD(H1201,30)&lt;=18),1*VLOOKUP(D1201,'报价表-配送'!$B$16:$I$21,7,0),0)</f>
        <v>0</v>
      </c>
      <c r="K1201" s="38">
        <f>IF(AND(MOD(H1201,30)&lt;=8,MOD(H1201,30)&gt;0),1,0)*VLOOKUP(D1201,'报价表-配送'!$B$16:$I$21,6,0)</f>
        <v>0</v>
      </c>
      <c r="L1201" s="33"/>
      <c r="M1201" s="1"/>
      <c r="N1201" s="38">
        <f t="shared" si="18"/>
        <v>0</v>
      </c>
    </row>
    <row r="1202" spans="1:14" x14ac:dyDescent="0.25">
      <c r="A1202" t="s">
        <v>82</v>
      </c>
      <c r="B1202" s="43" t="s">
        <v>144</v>
      </c>
      <c r="C1202" s="62">
        <f>VLOOKUP(B1202,合并仓明细!$D$2:$F$74,3,0)</f>
        <v>487</v>
      </c>
      <c r="D1202" s="44" t="s">
        <v>25</v>
      </c>
      <c r="E1202" s="43" t="s">
        <v>283</v>
      </c>
      <c r="F1202" t="s">
        <v>66</v>
      </c>
      <c r="G1202" s="42">
        <v>7.3100000000000005</v>
      </c>
      <c r="H1202"/>
      <c r="K1202" s="1"/>
      <c r="L1202" s="33"/>
      <c r="M1202" s="1"/>
      <c r="N1202" s="38">
        <f t="shared" si="18"/>
        <v>0</v>
      </c>
    </row>
    <row r="1203" spans="1:14" x14ac:dyDescent="0.25">
      <c r="A1203" t="s">
        <v>82</v>
      </c>
      <c r="B1203" s="43" t="s">
        <v>144</v>
      </c>
      <c r="C1203" s="62">
        <f>VLOOKUP(B1203,合并仓明细!$D$2:$F$74,3,0)</f>
        <v>487</v>
      </c>
      <c r="D1203" s="44" t="s">
        <v>25</v>
      </c>
      <c r="E1203" s="43" t="s">
        <v>284</v>
      </c>
      <c r="F1203" t="s">
        <v>66</v>
      </c>
      <c r="G1203" s="42">
        <v>21.799999999999997</v>
      </c>
      <c r="H1203">
        <v>2.1799999999999996E-2</v>
      </c>
      <c r="K1203" s="1"/>
      <c r="L1203" s="37">
        <f>IF(H1203&gt;30,QUOTIENT(H1203,30)*VLOOKUP(D1203,'报价表-配送'!$B$16:$I$21,8,0),0)+IF(AND(MOD(H1203,30)&gt;18,MOD(H1203,30)&lt;=30),1,0)*VLOOKUP(D1203,'报价表-配送'!$B$16:$I$21,8,0)+IF(AND(MOD(H1203,30)&gt;8,MOD(H1203,30)&lt;=18),1*VLOOKUP(D1203,'报价表-配送'!$B$16:$I$21,7,0),0)+IF(AND(MOD(H1203,30)&lt;=8,MOD(H1203,30)&gt;2.5),1,0)*VLOOKUP(D1203,'报价表-配送'!$B$16:$I$21,6,0)+IF(AND(MOD(H1203,30)&lt;=2.5,MOD(H1203,30)&gt;=1.5),1,0)*VLOOKUP(D1203,'报价表-配送'!$B$16:$I$21,5,0)</f>
        <v>0</v>
      </c>
      <c r="M1203" s="39">
        <f>IF(AND(MOD(H1203,30)&lt;1.5,MOD(H1203,30)&gt;=0.5),H1203,0)*VLOOKUP(D1203,'报价表-配送'!$B$16:$I$21,4,0)*1000+IF(AND(MOD(H1203,30)&lt;0.5,MOD(H1203,30)&gt;=0.02),H1203,0)*VLOOKUP(D1203,'报价表-配送'!$B$16:$I$21,3,0)*1000+IF(AND(MOD(H1203,30)&lt;0.02),H1203,0)*VLOOKUP(D1203,'报价表-配送'!$B$16:$I$21,2,0)*1000</f>
        <v>0</v>
      </c>
      <c r="N1203" s="38">
        <f t="shared" si="18"/>
        <v>0</v>
      </c>
    </row>
    <row r="1204" spans="1:14" x14ac:dyDescent="0.25">
      <c r="A1204" t="s">
        <v>82</v>
      </c>
      <c r="B1204" s="43" t="s">
        <v>144</v>
      </c>
      <c r="C1204" s="62">
        <f>VLOOKUP(B1204,合并仓明细!$D$2:$F$74,3,0)</f>
        <v>487</v>
      </c>
      <c r="D1204" s="44" t="s">
        <v>25</v>
      </c>
      <c r="E1204" s="43" t="s">
        <v>285</v>
      </c>
      <c r="F1204" t="s">
        <v>67</v>
      </c>
      <c r="G1204" s="42">
        <v>121.33</v>
      </c>
      <c r="H1204">
        <v>0.12798000000000001</v>
      </c>
      <c r="I1204" s="38">
        <f>IF(H1204&gt;30,QUOTIENT(H1204,30)*VLOOKUP(D1204,'报价表-配送'!$B$16:$I$21,8,0),0)+IF(AND(MOD(H1204,30)&gt;18,MOD(H1204,30)&lt;=30),1,0)*VLOOKUP(D1204,'报价表-配送'!$B$16:$I$21,8,0)</f>
        <v>0</v>
      </c>
      <c r="J1204" s="38">
        <f>IF(AND(MOD(H1204,30)&gt;8,MOD(H1204,30)&lt;=18),1*VLOOKUP(D1204,'报价表-配送'!$B$16:$I$21,7,0),0)</f>
        <v>0</v>
      </c>
      <c r="K1204" s="38">
        <f>IF(AND(MOD(H1204,30)&lt;=8,MOD(H1204,30)&gt;0),1,0)*VLOOKUP(D1204,'报价表-配送'!$B$16:$I$21,6,0)</f>
        <v>0</v>
      </c>
      <c r="L1204" s="33"/>
      <c r="M1204" s="1"/>
      <c r="N1204" s="38">
        <f t="shared" si="18"/>
        <v>0</v>
      </c>
    </row>
    <row r="1205" spans="1:14" x14ac:dyDescent="0.25">
      <c r="A1205" t="s">
        <v>82</v>
      </c>
      <c r="B1205" s="43" t="s">
        <v>144</v>
      </c>
      <c r="C1205" s="62">
        <f>VLOOKUP(B1205,合并仓明细!$D$2:$F$74,3,0)</f>
        <v>487</v>
      </c>
      <c r="D1205" s="44" t="s">
        <v>25</v>
      </c>
      <c r="E1205" s="43" t="s">
        <v>285</v>
      </c>
      <c r="F1205" t="s">
        <v>66</v>
      </c>
      <c r="G1205" s="42">
        <v>6.6500000000000012</v>
      </c>
      <c r="H1205"/>
      <c r="K1205" s="1"/>
      <c r="L1205" s="33"/>
      <c r="M1205" s="1"/>
      <c r="N1205" s="38">
        <f t="shared" si="18"/>
        <v>0</v>
      </c>
    </row>
    <row r="1206" spans="1:14" x14ac:dyDescent="0.25">
      <c r="A1206" t="s">
        <v>82</v>
      </c>
      <c r="B1206" s="43" t="s">
        <v>144</v>
      </c>
      <c r="C1206" s="62">
        <f>VLOOKUP(B1206,合并仓明细!$D$2:$F$74,3,0)</f>
        <v>487</v>
      </c>
      <c r="D1206" s="44" t="s">
        <v>25</v>
      </c>
      <c r="E1206" s="43" t="s">
        <v>329</v>
      </c>
      <c r="F1206" t="s">
        <v>66</v>
      </c>
      <c r="G1206" s="42">
        <v>2.6900000000000004</v>
      </c>
      <c r="H1206">
        <v>2.6900000000000006E-3</v>
      </c>
      <c r="K1206" s="1"/>
      <c r="L1206" s="37">
        <f>IF(H1206&gt;30,QUOTIENT(H1206,30)*VLOOKUP(D1206,'报价表-配送'!$B$16:$I$21,8,0),0)+IF(AND(MOD(H1206,30)&gt;18,MOD(H1206,30)&lt;=30),1,0)*VLOOKUP(D1206,'报价表-配送'!$B$16:$I$21,8,0)+IF(AND(MOD(H1206,30)&gt;8,MOD(H1206,30)&lt;=18),1*VLOOKUP(D1206,'报价表-配送'!$B$16:$I$21,7,0),0)+IF(AND(MOD(H1206,30)&lt;=8,MOD(H1206,30)&gt;2.5),1,0)*VLOOKUP(D1206,'报价表-配送'!$B$16:$I$21,6,0)+IF(AND(MOD(H1206,30)&lt;=2.5,MOD(H1206,30)&gt;=1.5),1,0)*VLOOKUP(D1206,'报价表-配送'!$B$16:$I$21,5,0)</f>
        <v>0</v>
      </c>
      <c r="M1206" s="39">
        <f>IF(AND(MOD(H1206,30)&lt;1.5,MOD(H1206,30)&gt;=0.5),H1206,0)*VLOOKUP(D1206,'报价表-配送'!$B$16:$I$21,4,0)*1000+IF(AND(MOD(H1206,30)&lt;0.5,MOD(H1206,30)&gt;=0.02),H1206,0)*VLOOKUP(D1206,'报价表-配送'!$B$16:$I$21,3,0)*1000+IF(AND(MOD(H1206,30)&lt;0.02),H1206,0)*VLOOKUP(D1206,'报价表-配送'!$B$16:$I$21,2,0)*1000</f>
        <v>0</v>
      </c>
      <c r="N1206" s="38">
        <f t="shared" si="18"/>
        <v>0</v>
      </c>
    </row>
    <row r="1207" spans="1:14" x14ac:dyDescent="0.25">
      <c r="A1207" t="s">
        <v>82</v>
      </c>
      <c r="B1207" s="43" t="s">
        <v>144</v>
      </c>
      <c r="C1207" s="62">
        <f>VLOOKUP(B1207,合并仓明细!$D$2:$F$74,3,0)</f>
        <v>487</v>
      </c>
      <c r="D1207" s="44" t="s">
        <v>25</v>
      </c>
      <c r="E1207" s="43" t="s">
        <v>286</v>
      </c>
      <c r="F1207" t="s">
        <v>67</v>
      </c>
      <c r="G1207" s="42">
        <v>227.72000000000003</v>
      </c>
      <c r="H1207">
        <v>0.23246000000000003</v>
      </c>
      <c r="I1207" s="38">
        <f>IF(H1207&gt;30,QUOTIENT(H1207,30)*VLOOKUP(D1207,'报价表-配送'!$B$16:$I$21,8,0),0)+IF(AND(MOD(H1207,30)&gt;18,MOD(H1207,30)&lt;=30),1,0)*VLOOKUP(D1207,'报价表-配送'!$B$16:$I$21,8,0)</f>
        <v>0</v>
      </c>
      <c r="J1207" s="38">
        <f>IF(AND(MOD(H1207,30)&gt;8,MOD(H1207,30)&lt;=18),1*VLOOKUP(D1207,'报价表-配送'!$B$16:$I$21,7,0),0)</f>
        <v>0</v>
      </c>
      <c r="K1207" s="38">
        <f>IF(AND(MOD(H1207,30)&lt;=8,MOD(H1207,30)&gt;0),1,0)*VLOOKUP(D1207,'报价表-配送'!$B$16:$I$21,6,0)</f>
        <v>0</v>
      </c>
      <c r="L1207" s="33"/>
      <c r="M1207" s="1"/>
      <c r="N1207" s="38">
        <f t="shared" si="18"/>
        <v>0</v>
      </c>
    </row>
    <row r="1208" spans="1:14" x14ac:dyDescent="0.25">
      <c r="A1208" t="s">
        <v>82</v>
      </c>
      <c r="B1208" s="43" t="s">
        <v>144</v>
      </c>
      <c r="C1208" s="62">
        <f>VLOOKUP(B1208,合并仓明细!$D$2:$F$74,3,0)</f>
        <v>487</v>
      </c>
      <c r="D1208" s="44" t="s">
        <v>25</v>
      </c>
      <c r="E1208" s="43" t="s">
        <v>286</v>
      </c>
      <c r="F1208" t="s">
        <v>66</v>
      </c>
      <c r="G1208" s="42">
        <v>4.74</v>
      </c>
      <c r="H1208"/>
      <c r="K1208" s="1"/>
      <c r="L1208" s="33"/>
      <c r="M1208" s="1"/>
      <c r="N1208" s="38">
        <f t="shared" si="18"/>
        <v>0</v>
      </c>
    </row>
    <row r="1209" spans="1:14" x14ac:dyDescent="0.25">
      <c r="A1209" t="s">
        <v>82</v>
      </c>
      <c r="B1209" s="43" t="s">
        <v>144</v>
      </c>
      <c r="C1209" s="62">
        <f>VLOOKUP(B1209,合并仓明细!$D$2:$F$74,3,0)</f>
        <v>487</v>
      </c>
      <c r="D1209" s="44" t="s">
        <v>25</v>
      </c>
      <c r="E1209" s="43" t="s">
        <v>349</v>
      </c>
      <c r="F1209" t="s">
        <v>67</v>
      </c>
      <c r="G1209" s="42">
        <v>165.59</v>
      </c>
      <c r="H1209">
        <v>0.21165</v>
      </c>
      <c r="I1209" s="38">
        <f>IF(H1209&gt;30,QUOTIENT(H1209,30)*VLOOKUP(D1209,'报价表-配送'!$B$16:$I$21,8,0),0)+IF(AND(MOD(H1209,30)&gt;18,MOD(H1209,30)&lt;=30),1,0)*VLOOKUP(D1209,'报价表-配送'!$B$16:$I$21,8,0)</f>
        <v>0</v>
      </c>
      <c r="J1209" s="38">
        <f>IF(AND(MOD(H1209,30)&gt;8,MOD(H1209,30)&lt;=18),1*VLOOKUP(D1209,'报价表-配送'!$B$16:$I$21,7,0),0)</f>
        <v>0</v>
      </c>
      <c r="K1209" s="38">
        <f>IF(AND(MOD(H1209,30)&lt;=8,MOD(H1209,30)&gt;0),1,0)*VLOOKUP(D1209,'报价表-配送'!$B$16:$I$21,6,0)</f>
        <v>0</v>
      </c>
      <c r="L1209" s="33"/>
      <c r="M1209" s="1"/>
      <c r="N1209" s="38">
        <f t="shared" si="18"/>
        <v>0</v>
      </c>
    </row>
    <row r="1210" spans="1:14" x14ac:dyDescent="0.25">
      <c r="A1210" t="s">
        <v>82</v>
      </c>
      <c r="B1210" s="43" t="s">
        <v>144</v>
      </c>
      <c r="C1210" s="62">
        <f>VLOOKUP(B1210,合并仓明细!$D$2:$F$74,3,0)</f>
        <v>487</v>
      </c>
      <c r="D1210" s="44" t="s">
        <v>25</v>
      </c>
      <c r="E1210" s="43" t="s">
        <v>349</v>
      </c>
      <c r="F1210" t="s">
        <v>66</v>
      </c>
      <c r="G1210" s="42">
        <v>46.06</v>
      </c>
      <c r="H1210"/>
      <c r="K1210" s="1"/>
      <c r="L1210" s="33"/>
      <c r="M1210" s="1"/>
      <c r="N1210" s="38">
        <f t="shared" si="18"/>
        <v>0</v>
      </c>
    </row>
    <row r="1211" spans="1:14" x14ac:dyDescent="0.25">
      <c r="A1211" t="s">
        <v>82</v>
      </c>
      <c r="B1211" s="43" t="s">
        <v>144</v>
      </c>
      <c r="C1211" s="62">
        <f>VLOOKUP(B1211,合并仓明细!$D$2:$F$74,3,0)</f>
        <v>487</v>
      </c>
      <c r="D1211" s="44" t="s">
        <v>25</v>
      </c>
      <c r="E1211" s="43" t="s">
        <v>315</v>
      </c>
      <c r="F1211" t="s">
        <v>67</v>
      </c>
      <c r="G1211" s="42">
        <v>8670.98</v>
      </c>
      <c r="H1211">
        <v>9.8004499999999997</v>
      </c>
      <c r="I1211" s="38">
        <f>IF(H1211&gt;30,QUOTIENT(H1211,30)*VLOOKUP(D1211,'报价表-配送'!$B$16:$I$21,8,0),0)+IF(AND(MOD(H1211,30)&gt;18,MOD(H1211,30)&lt;=30),1,0)*VLOOKUP(D1211,'报价表-配送'!$B$16:$I$21,8,0)</f>
        <v>0</v>
      </c>
      <c r="J1211" s="38">
        <f>IF(AND(MOD(H1211,30)&gt;8,MOD(H1211,30)&lt;=18),1*VLOOKUP(D1211,'报价表-配送'!$B$16:$I$21,7,0),0)</f>
        <v>0</v>
      </c>
      <c r="K1211" s="38">
        <f>IF(AND(MOD(H1211,30)&lt;=8,MOD(H1211,30)&gt;0),1,0)*VLOOKUP(D1211,'报价表-配送'!$B$16:$I$21,6,0)</f>
        <v>0</v>
      </c>
      <c r="L1211" s="33"/>
      <c r="M1211" s="1"/>
      <c r="N1211" s="38">
        <f t="shared" si="18"/>
        <v>0</v>
      </c>
    </row>
    <row r="1212" spans="1:14" x14ac:dyDescent="0.25">
      <c r="A1212" t="s">
        <v>82</v>
      </c>
      <c r="B1212" s="43" t="s">
        <v>144</v>
      </c>
      <c r="C1212" s="62">
        <f>VLOOKUP(B1212,合并仓明细!$D$2:$F$74,3,0)</f>
        <v>487</v>
      </c>
      <c r="D1212" s="44" t="s">
        <v>25</v>
      </c>
      <c r="E1212" s="43" t="s">
        <v>315</v>
      </c>
      <c r="F1212" t="s">
        <v>66</v>
      </c>
      <c r="G1212" s="42">
        <v>1129.47</v>
      </c>
      <c r="H1212"/>
      <c r="K1212" s="1"/>
      <c r="L1212" s="33"/>
      <c r="M1212" s="1"/>
      <c r="N1212" s="38">
        <f t="shared" si="18"/>
        <v>0</v>
      </c>
    </row>
    <row r="1213" spans="1:14" x14ac:dyDescent="0.25">
      <c r="A1213" t="s">
        <v>82</v>
      </c>
      <c r="B1213" s="43" t="s">
        <v>144</v>
      </c>
      <c r="C1213" s="62">
        <f>VLOOKUP(B1213,合并仓明细!$D$2:$F$74,3,0)</f>
        <v>487</v>
      </c>
      <c r="D1213" s="44" t="s">
        <v>25</v>
      </c>
      <c r="E1213" s="43" t="s">
        <v>291</v>
      </c>
      <c r="F1213" t="s">
        <v>66</v>
      </c>
      <c r="G1213" s="42">
        <v>12.52</v>
      </c>
      <c r="H1213">
        <v>1.252E-2</v>
      </c>
      <c r="K1213" s="1"/>
      <c r="L1213" s="37">
        <f>IF(H1213&gt;30,QUOTIENT(H1213,30)*VLOOKUP(D1213,'报价表-配送'!$B$16:$I$21,8,0),0)+IF(AND(MOD(H1213,30)&gt;18,MOD(H1213,30)&lt;=30),1,0)*VLOOKUP(D1213,'报价表-配送'!$B$16:$I$21,8,0)+IF(AND(MOD(H1213,30)&gt;8,MOD(H1213,30)&lt;=18),1*VLOOKUP(D1213,'报价表-配送'!$B$16:$I$21,7,0),0)+IF(AND(MOD(H1213,30)&lt;=8,MOD(H1213,30)&gt;2.5),1,0)*VLOOKUP(D1213,'报价表-配送'!$B$16:$I$21,6,0)+IF(AND(MOD(H1213,30)&lt;=2.5,MOD(H1213,30)&gt;=1.5),1,0)*VLOOKUP(D1213,'报价表-配送'!$B$16:$I$21,5,0)</f>
        <v>0</v>
      </c>
      <c r="M1213" s="39">
        <f>IF(AND(MOD(H1213,30)&lt;1.5,MOD(H1213,30)&gt;=0.5),H1213,0)*VLOOKUP(D1213,'报价表-配送'!$B$16:$I$21,4,0)*1000+IF(AND(MOD(H1213,30)&lt;0.5,MOD(H1213,30)&gt;=0.02),H1213,0)*VLOOKUP(D1213,'报价表-配送'!$B$16:$I$21,3,0)*1000+IF(AND(MOD(H1213,30)&lt;0.02),H1213,0)*VLOOKUP(D1213,'报价表-配送'!$B$16:$I$21,2,0)*1000</f>
        <v>0</v>
      </c>
      <c r="N1213" s="38">
        <f t="shared" si="18"/>
        <v>0</v>
      </c>
    </row>
    <row r="1214" spans="1:14" x14ac:dyDescent="0.25">
      <c r="A1214" t="s">
        <v>82</v>
      </c>
      <c r="B1214" s="43" t="s">
        <v>144</v>
      </c>
      <c r="C1214" s="62">
        <f>VLOOKUP(B1214,合并仓明细!$D$2:$F$74,3,0)</f>
        <v>487</v>
      </c>
      <c r="D1214" s="44" t="s">
        <v>25</v>
      </c>
      <c r="E1214" s="43" t="s">
        <v>317</v>
      </c>
      <c r="F1214" t="s">
        <v>66</v>
      </c>
      <c r="G1214" s="42">
        <v>9.0500000000000007</v>
      </c>
      <c r="H1214">
        <v>9.0500000000000008E-3</v>
      </c>
      <c r="K1214" s="1"/>
      <c r="L1214" s="37">
        <f>IF(H1214&gt;30,QUOTIENT(H1214,30)*VLOOKUP(D1214,'报价表-配送'!$B$16:$I$21,8,0),0)+IF(AND(MOD(H1214,30)&gt;18,MOD(H1214,30)&lt;=30),1,0)*VLOOKUP(D1214,'报价表-配送'!$B$16:$I$21,8,0)+IF(AND(MOD(H1214,30)&gt;8,MOD(H1214,30)&lt;=18),1*VLOOKUP(D1214,'报价表-配送'!$B$16:$I$21,7,0),0)+IF(AND(MOD(H1214,30)&lt;=8,MOD(H1214,30)&gt;2.5),1,0)*VLOOKUP(D1214,'报价表-配送'!$B$16:$I$21,6,0)+IF(AND(MOD(H1214,30)&lt;=2.5,MOD(H1214,30)&gt;=1.5),1,0)*VLOOKUP(D1214,'报价表-配送'!$B$16:$I$21,5,0)</f>
        <v>0</v>
      </c>
      <c r="M1214" s="39">
        <f>IF(AND(MOD(H1214,30)&lt;1.5,MOD(H1214,30)&gt;=0.5),H1214,0)*VLOOKUP(D1214,'报价表-配送'!$B$16:$I$21,4,0)*1000+IF(AND(MOD(H1214,30)&lt;0.5,MOD(H1214,30)&gt;=0.02),H1214,0)*VLOOKUP(D1214,'报价表-配送'!$B$16:$I$21,3,0)*1000+IF(AND(MOD(H1214,30)&lt;0.02),H1214,0)*VLOOKUP(D1214,'报价表-配送'!$B$16:$I$21,2,0)*1000</f>
        <v>0</v>
      </c>
      <c r="N1214" s="38">
        <f t="shared" si="18"/>
        <v>0</v>
      </c>
    </row>
    <row r="1215" spans="1:14" x14ac:dyDescent="0.25">
      <c r="A1215" t="s">
        <v>82</v>
      </c>
      <c r="B1215" s="43" t="s">
        <v>144</v>
      </c>
      <c r="C1215" s="62">
        <f>VLOOKUP(B1215,合并仓明细!$D$2:$F$74,3,0)</f>
        <v>487</v>
      </c>
      <c r="D1215" s="44" t="s">
        <v>25</v>
      </c>
      <c r="E1215" s="43" t="s">
        <v>296</v>
      </c>
      <c r="F1215" t="s">
        <v>66</v>
      </c>
      <c r="G1215" s="42">
        <v>39</v>
      </c>
      <c r="H1215">
        <v>3.9E-2</v>
      </c>
      <c r="K1215" s="1"/>
      <c r="L1215" s="37">
        <f>IF(H1215&gt;30,QUOTIENT(H1215,30)*VLOOKUP(D1215,'报价表-配送'!$B$16:$I$21,8,0),0)+IF(AND(MOD(H1215,30)&gt;18,MOD(H1215,30)&lt;=30),1,0)*VLOOKUP(D1215,'报价表-配送'!$B$16:$I$21,8,0)+IF(AND(MOD(H1215,30)&gt;8,MOD(H1215,30)&lt;=18),1*VLOOKUP(D1215,'报价表-配送'!$B$16:$I$21,7,0),0)+IF(AND(MOD(H1215,30)&lt;=8,MOD(H1215,30)&gt;2.5),1,0)*VLOOKUP(D1215,'报价表-配送'!$B$16:$I$21,6,0)+IF(AND(MOD(H1215,30)&lt;=2.5,MOD(H1215,30)&gt;=1.5),1,0)*VLOOKUP(D1215,'报价表-配送'!$B$16:$I$21,5,0)</f>
        <v>0</v>
      </c>
      <c r="M1215" s="39">
        <f>IF(AND(MOD(H1215,30)&lt;1.5,MOD(H1215,30)&gt;=0.5),H1215,0)*VLOOKUP(D1215,'报价表-配送'!$B$16:$I$21,4,0)*1000+IF(AND(MOD(H1215,30)&lt;0.5,MOD(H1215,30)&gt;=0.02),H1215,0)*VLOOKUP(D1215,'报价表-配送'!$B$16:$I$21,3,0)*1000+IF(AND(MOD(H1215,30)&lt;0.02),H1215,0)*VLOOKUP(D1215,'报价表-配送'!$B$16:$I$21,2,0)*1000</f>
        <v>0</v>
      </c>
      <c r="N1215" s="38">
        <f t="shared" si="18"/>
        <v>0</v>
      </c>
    </row>
    <row r="1216" spans="1:14" x14ac:dyDescent="0.25">
      <c r="A1216" t="s">
        <v>82</v>
      </c>
      <c r="B1216" s="43" t="s">
        <v>144</v>
      </c>
      <c r="C1216" s="62">
        <f>VLOOKUP(B1216,合并仓明细!$D$2:$F$74,3,0)</f>
        <v>487</v>
      </c>
      <c r="D1216" s="44" t="s">
        <v>25</v>
      </c>
      <c r="E1216" s="43" t="s">
        <v>366</v>
      </c>
      <c r="F1216" t="s">
        <v>66</v>
      </c>
      <c r="G1216" s="42">
        <v>152.99</v>
      </c>
      <c r="H1216">
        <v>0.15299000000000001</v>
      </c>
      <c r="K1216" s="1"/>
      <c r="L1216" s="37">
        <f>IF(H1216&gt;30,QUOTIENT(H1216,30)*VLOOKUP(D1216,'报价表-配送'!$B$16:$I$21,8,0),0)+IF(AND(MOD(H1216,30)&gt;18,MOD(H1216,30)&lt;=30),1,0)*VLOOKUP(D1216,'报价表-配送'!$B$16:$I$21,8,0)+IF(AND(MOD(H1216,30)&gt;8,MOD(H1216,30)&lt;=18),1*VLOOKUP(D1216,'报价表-配送'!$B$16:$I$21,7,0),0)+IF(AND(MOD(H1216,30)&lt;=8,MOD(H1216,30)&gt;2.5),1,0)*VLOOKUP(D1216,'报价表-配送'!$B$16:$I$21,6,0)+IF(AND(MOD(H1216,30)&lt;=2.5,MOD(H1216,30)&gt;=1.5),1,0)*VLOOKUP(D1216,'报价表-配送'!$B$16:$I$21,5,0)</f>
        <v>0</v>
      </c>
      <c r="M1216" s="39">
        <f>IF(AND(MOD(H1216,30)&lt;1.5,MOD(H1216,30)&gt;=0.5),H1216,0)*VLOOKUP(D1216,'报价表-配送'!$B$16:$I$21,4,0)*1000+IF(AND(MOD(H1216,30)&lt;0.5,MOD(H1216,30)&gt;=0.02),H1216,0)*VLOOKUP(D1216,'报价表-配送'!$B$16:$I$21,3,0)*1000+IF(AND(MOD(H1216,30)&lt;0.02),H1216,0)*VLOOKUP(D1216,'报价表-配送'!$B$16:$I$21,2,0)*1000</f>
        <v>0</v>
      </c>
      <c r="N1216" s="38">
        <f t="shared" si="18"/>
        <v>0</v>
      </c>
    </row>
    <row r="1217" spans="1:14" x14ac:dyDescent="0.25">
      <c r="A1217" t="s">
        <v>82</v>
      </c>
      <c r="B1217" s="43" t="s">
        <v>144</v>
      </c>
      <c r="C1217" s="62">
        <f>VLOOKUP(B1217,合并仓明细!$D$2:$F$74,3,0)</f>
        <v>487</v>
      </c>
      <c r="D1217" s="44" t="s">
        <v>25</v>
      </c>
      <c r="E1217" s="43" t="s">
        <v>249</v>
      </c>
      <c r="F1217" t="s">
        <v>66</v>
      </c>
      <c r="G1217" s="42">
        <v>195.05</v>
      </c>
      <c r="H1217">
        <v>0.19505</v>
      </c>
      <c r="K1217" s="1"/>
      <c r="L1217" s="37">
        <f>IF(H1217&gt;30,QUOTIENT(H1217,30)*VLOOKUP(D1217,'报价表-配送'!$B$16:$I$21,8,0),0)+IF(AND(MOD(H1217,30)&gt;18,MOD(H1217,30)&lt;=30),1,0)*VLOOKUP(D1217,'报价表-配送'!$B$16:$I$21,8,0)+IF(AND(MOD(H1217,30)&gt;8,MOD(H1217,30)&lt;=18),1*VLOOKUP(D1217,'报价表-配送'!$B$16:$I$21,7,0),0)+IF(AND(MOD(H1217,30)&lt;=8,MOD(H1217,30)&gt;2.5),1,0)*VLOOKUP(D1217,'报价表-配送'!$B$16:$I$21,6,0)+IF(AND(MOD(H1217,30)&lt;=2.5,MOD(H1217,30)&gt;=1.5),1,0)*VLOOKUP(D1217,'报价表-配送'!$B$16:$I$21,5,0)</f>
        <v>0</v>
      </c>
      <c r="M1217" s="39">
        <f>IF(AND(MOD(H1217,30)&lt;1.5,MOD(H1217,30)&gt;=0.5),H1217,0)*VLOOKUP(D1217,'报价表-配送'!$B$16:$I$21,4,0)*1000+IF(AND(MOD(H1217,30)&lt;0.5,MOD(H1217,30)&gt;=0.02),H1217,0)*VLOOKUP(D1217,'报价表-配送'!$B$16:$I$21,3,0)*1000+IF(AND(MOD(H1217,30)&lt;0.02),H1217,0)*VLOOKUP(D1217,'报价表-配送'!$B$16:$I$21,2,0)*1000</f>
        <v>0</v>
      </c>
      <c r="N1217" s="38">
        <f t="shared" si="18"/>
        <v>0</v>
      </c>
    </row>
    <row r="1218" spans="1:14" x14ac:dyDescent="0.25">
      <c r="A1218" t="s">
        <v>82</v>
      </c>
      <c r="B1218" s="43" t="s">
        <v>144</v>
      </c>
      <c r="C1218" s="62">
        <f>VLOOKUP(B1218,合并仓明细!$D$2:$F$74,3,0)</f>
        <v>487</v>
      </c>
      <c r="D1218" s="44" t="s">
        <v>25</v>
      </c>
      <c r="E1218" s="43" t="s">
        <v>326</v>
      </c>
      <c r="F1218" t="s">
        <v>68</v>
      </c>
      <c r="G1218" s="42">
        <v>876.09</v>
      </c>
      <c r="H1218">
        <v>6.3791700000000002</v>
      </c>
      <c r="I1218" s="46">
        <f>ROUNDUP(H1218/30,0)*VLOOKUP(D1218,'报价表-配送'!$B$16:$I$21,8,0)</f>
        <v>0</v>
      </c>
      <c r="K1218" s="1"/>
      <c r="L1218" s="33"/>
      <c r="M1218" s="1"/>
      <c r="N1218" s="38">
        <f t="shared" si="18"/>
        <v>0</v>
      </c>
    </row>
    <row r="1219" spans="1:14" x14ac:dyDescent="0.25">
      <c r="A1219" t="s">
        <v>82</v>
      </c>
      <c r="B1219" s="43" t="s">
        <v>144</v>
      </c>
      <c r="C1219" s="62">
        <f>VLOOKUP(B1219,合并仓明细!$D$2:$F$74,3,0)</f>
        <v>487</v>
      </c>
      <c r="D1219" s="44" t="s">
        <v>25</v>
      </c>
      <c r="E1219" s="43" t="s">
        <v>326</v>
      </c>
      <c r="F1219" t="s">
        <v>67</v>
      </c>
      <c r="G1219" s="42">
        <v>5503.08</v>
      </c>
      <c r="H1219"/>
      <c r="K1219" s="1"/>
      <c r="L1219" s="33"/>
      <c r="M1219" s="1"/>
      <c r="N1219" s="38">
        <f t="shared" si="18"/>
        <v>0</v>
      </c>
    </row>
    <row r="1220" spans="1:14" x14ac:dyDescent="0.25">
      <c r="A1220" t="s">
        <v>82</v>
      </c>
      <c r="B1220" s="43" t="s">
        <v>144</v>
      </c>
      <c r="C1220" s="62">
        <f>VLOOKUP(B1220,合并仓明细!$D$2:$F$74,3,0)</f>
        <v>487</v>
      </c>
      <c r="D1220" s="44" t="s">
        <v>25</v>
      </c>
      <c r="E1220" s="43" t="s">
        <v>298</v>
      </c>
      <c r="F1220" t="s">
        <v>68</v>
      </c>
      <c r="G1220" s="42">
        <v>729.87</v>
      </c>
      <c r="H1220">
        <v>0.72987000000000002</v>
      </c>
      <c r="I1220" s="46">
        <f>ROUNDUP(H1220/30,0)*VLOOKUP(D1220,'报价表-配送'!$B$16:$I$21,8,0)</f>
        <v>0</v>
      </c>
      <c r="K1220" s="1"/>
      <c r="L1220" s="33"/>
      <c r="M1220" s="1"/>
      <c r="N1220" s="38">
        <f t="shared" si="18"/>
        <v>0</v>
      </c>
    </row>
    <row r="1221" spans="1:14" x14ac:dyDescent="0.25">
      <c r="A1221" t="s">
        <v>82</v>
      </c>
      <c r="B1221" s="43" t="s">
        <v>144</v>
      </c>
      <c r="C1221" s="62">
        <f>VLOOKUP(B1221,合并仓明细!$D$2:$F$74,3,0)</f>
        <v>487</v>
      </c>
      <c r="D1221" s="44" t="s">
        <v>25</v>
      </c>
      <c r="E1221" s="43" t="s">
        <v>250</v>
      </c>
      <c r="F1221" t="s">
        <v>66</v>
      </c>
      <c r="G1221" s="42">
        <v>101.23</v>
      </c>
      <c r="H1221">
        <v>0.10123</v>
      </c>
      <c r="K1221" s="1"/>
      <c r="L1221" s="37">
        <f>IF(H1221&gt;30,QUOTIENT(H1221,30)*VLOOKUP(D1221,'报价表-配送'!$B$16:$I$21,8,0),0)+IF(AND(MOD(H1221,30)&gt;18,MOD(H1221,30)&lt;=30),1,0)*VLOOKUP(D1221,'报价表-配送'!$B$16:$I$21,8,0)+IF(AND(MOD(H1221,30)&gt;8,MOD(H1221,30)&lt;=18),1*VLOOKUP(D1221,'报价表-配送'!$B$16:$I$21,7,0),0)+IF(AND(MOD(H1221,30)&lt;=8,MOD(H1221,30)&gt;2.5),1,0)*VLOOKUP(D1221,'报价表-配送'!$B$16:$I$21,6,0)+IF(AND(MOD(H1221,30)&lt;=2.5,MOD(H1221,30)&gt;=1.5),1,0)*VLOOKUP(D1221,'报价表-配送'!$B$16:$I$21,5,0)</f>
        <v>0</v>
      </c>
      <c r="M1221" s="39">
        <f>IF(AND(MOD(H1221,30)&lt;1.5,MOD(H1221,30)&gt;=0.5),H1221,0)*VLOOKUP(D1221,'报价表-配送'!$B$16:$I$21,4,0)*1000+IF(AND(MOD(H1221,30)&lt;0.5,MOD(H1221,30)&gt;=0.02),H1221,0)*VLOOKUP(D1221,'报价表-配送'!$B$16:$I$21,3,0)*1000+IF(AND(MOD(H1221,30)&lt;0.02),H1221,0)*VLOOKUP(D1221,'报价表-配送'!$B$16:$I$21,2,0)*1000</f>
        <v>0</v>
      </c>
      <c r="N1221" s="38">
        <f t="shared" si="18"/>
        <v>0</v>
      </c>
    </row>
    <row r="1222" spans="1:14" x14ac:dyDescent="0.25">
      <c r="A1222" t="s">
        <v>82</v>
      </c>
      <c r="B1222" s="43" t="s">
        <v>144</v>
      </c>
      <c r="C1222" s="62">
        <f>VLOOKUP(B1222,合并仓明细!$D$2:$F$74,3,0)</f>
        <v>487</v>
      </c>
      <c r="D1222" s="44" t="s">
        <v>25</v>
      </c>
      <c r="E1222" s="43" t="s">
        <v>318</v>
      </c>
      <c r="F1222" t="s">
        <v>66</v>
      </c>
      <c r="G1222" s="42">
        <v>560.98</v>
      </c>
      <c r="H1222">
        <v>0.56098000000000003</v>
      </c>
      <c r="K1222" s="1"/>
      <c r="L1222" s="37">
        <f>IF(H1222&gt;30,QUOTIENT(H1222,30)*VLOOKUP(D1222,'报价表-配送'!$B$16:$I$21,8,0),0)+IF(AND(MOD(H1222,30)&gt;18,MOD(H1222,30)&lt;=30),1,0)*VLOOKUP(D1222,'报价表-配送'!$B$16:$I$21,8,0)+IF(AND(MOD(H1222,30)&gt;8,MOD(H1222,30)&lt;=18),1*VLOOKUP(D1222,'报价表-配送'!$B$16:$I$21,7,0),0)+IF(AND(MOD(H1222,30)&lt;=8,MOD(H1222,30)&gt;2.5),1,0)*VLOOKUP(D1222,'报价表-配送'!$B$16:$I$21,6,0)+IF(AND(MOD(H1222,30)&lt;=2.5,MOD(H1222,30)&gt;=1.5),1,0)*VLOOKUP(D1222,'报价表-配送'!$B$16:$I$21,5,0)</f>
        <v>0</v>
      </c>
      <c r="M1222" s="39">
        <f>IF(AND(MOD(H1222,30)&lt;1.5,MOD(H1222,30)&gt;=0.5),H1222,0)*VLOOKUP(D1222,'报价表-配送'!$B$16:$I$21,4,0)*1000+IF(AND(MOD(H1222,30)&lt;0.5,MOD(H1222,30)&gt;=0.02),H1222,0)*VLOOKUP(D1222,'报价表-配送'!$B$16:$I$21,3,0)*1000+IF(AND(MOD(H1222,30)&lt;0.02),H1222,0)*VLOOKUP(D1222,'报价表-配送'!$B$16:$I$21,2,0)*1000</f>
        <v>0</v>
      </c>
      <c r="N1222" s="38">
        <f t="shared" si="18"/>
        <v>0</v>
      </c>
    </row>
    <row r="1223" spans="1:14" x14ac:dyDescent="0.25">
      <c r="A1223" t="s">
        <v>82</v>
      </c>
      <c r="B1223" s="43" t="s">
        <v>144</v>
      </c>
      <c r="C1223" s="62">
        <f>VLOOKUP(B1223,合并仓明细!$D$2:$F$74,3,0)</f>
        <v>487</v>
      </c>
      <c r="D1223" s="44" t="s">
        <v>25</v>
      </c>
      <c r="E1223" s="43" t="s">
        <v>360</v>
      </c>
      <c r="F1223" t="s">
        <v>66</v>
      </c>
      <c r="G1223" s="42">
        <v>9.7899999999999991</v>
      </c>
      <c r="H1223">
        <v>9.7899999999999984E-3</v>
      </c>
      <c r="K1223" s="1"/>
      <c r="L1223" s="37">
        <f>IF(H1223&gt;30,QUOTIENT(H1223,30)*VLOOKUP(D1223,'报价表-配送'!$B$16:$I$21,8,0),0)+IF(AND(MOD(H1223,30)&gt;18,MOD(H1223,30)&lt;=30),1,0)*VLOOKUP(D1223,'报价表-配送'!$B$16:$I$21,8,0)+IF(AND(MOD(H1223,30)&gt;8,MOD(H1223,30)&lt;=18),1*VLOOKUP(D1223,'报价表-配送'!$B$16:$I$21,7,0),0)+IF(AND(MOD(H1223,30)&lt;=8,MOD(H1223,30)&gt;2.5),1,0)*VLOOKUP(D1223,'报价表-配送'!$B$16:$I$21,6,0)+IF(AND(MOD(H1223,30)&lt;=2.5,MOD(H1223,30)&gt;=1.5),1,0)*VLOOKUP(D1223,'报价表-配送'!$B$16:$I$21,5,0)</f>
        <v>0</v>
      </c>
      <c r="M1223" s="39">
        <f>IF(AND(MOD(H1223,30)&lt;1.5,MOD(H1223,30)&gt;=0.5),H1223,0)*VLOOKUP(D1223,'报价表-配送'!$B$16:$I$21,4,0)*1000+IF(AND(MOD(H1223,30)&lt;0.5,MOD(H1223,30)&gt;=0.02),H1223,0)*VLOOKUP(D1223,'报价表-配送'!$B$16:$I$21,3,0)*1000+IF(AND(MOD(H1223,30)&lt;0.02),H1223,0)*VLOOKUP(D1223,'报价表-配送'!$B$16:$I$21,2,0)*1000</f>
        <v>0</v>
      </c>
      <c r="N1223" s="38">
        <f t="shared" si="18"/>
        <v>0</v>
      </c>
    </row>
    <row r="1224" spans="1:14" x14ac:dyDescent="0.25">
      <c r="A1224" t="s">
        <v>82</v>
      </c>
      <c r="B1224" s="43" t="s">
        <v>144</v>
      </c>
      <c r="C1224" s="62">
        <f>VLOOKUP(B1224,合并仓明细!$D$2:$F$74,3,0)</f>
        <v>487</v>
      </c>
      <c r="D1224" s="44" t="s">
        <v>25</v>
      </c>
      <c r="E1224" s="43" t="s">
        <v>301</v>
      </c>
      <c r="F1224" t="s">
        <v>66</v>
      </c>
      <c r="G1224" s="42">
        <v>22.43</v>
      </c>
      <c r="H1224">
        <v>2.2429999999999999E-2</v>
      </c>
      <c r="K1224" s="1"/>
      <c r="L1224" s="37">
        <f>IF(H1224&gt;30,QUOTIENT(H1224,30)*VLOOKUP(D1224,'报价表-配送'!$B$16:$I$21,8,0),0)+IF(AND(MOD(H1224,30)&gt;18,MOD(H1224,30)&lt;=30),1,0)*VLOOKUP(D1224,'报价表-配送'!$B$16:$I$21,8,0)+IF(AND(MOD(H1224,30)&gt;8,MOD(H1224,30)&lt;=18),1*VLOOKUP(D1224,'报价表-配送'!$B$16:$I$21,7,0),0)+IF(AND(MOD(H1224,30)&lt;=8,MOD(H1224,30)&gt;2.5),1,0)*VLOOKUP(D1224,'报价表-配送'!$B$16:$I$21,6,0)+IF(AND(MOD(H1224,30)&lt;=2.5,MOD(H1224,30)&gt;=1.5),1,0)*VLOOKUP(D1224,'报价表-配送'!$B$16:$I$21,5,0)</f>
        <v>0</v>
      </c>
      <c r="M1224" s="39">
        <f>IF(AND(MOD(H1224,30)&lt;1.5,MOD(H1224,30)&gt;=0.5),H1224,0)*VLOOKUP(D1224,'报价表-配送'!$B$16:$I$21,4,0)*1000+IF(AND(MOD(H1224,30)&lt;0.5,MOD(H1224,30)&gt;=0.02),H1224,0)*VLOOKUP(D1224,'报价表-配送'!$B$16:$I$21,3,0)*1000+IF(AND(MOD(H1224,30)&lt;0.02),H1224,0)*VLOOKUP(D1224,'报价表-配送'!$B$16:$I$21,2,0)*1000</f>
        <v>0</v>
      </c>
      <c r="N1224" s="38">
        <f t="shared" si="18"/>
        <v>0</v>
      </c>
    </row>
    <row r="1225" spans="1:14" x14ac:dyDescent="0.25">
      <c r="A1225" t="s">
        <v>82</v>
      </c>
      <c r="B1225" s="43" t="s">
        <v>144</v>
      </c>
      <c r="C1225" s="62">
        <f>VLOOKUP(B1225,合并仓明细!$D$2:$F$74,3,0)</f>
        <v>487</v>
      </c>
      <c r="D1225" s="44" t="s">
        <v>25</v>
      </c>
      <c r="E1225" s="43" t="s">
        <v>251</v>
      </c>
      <c r="F1225" t="s">
        <v>66</v>
      </c>
      <c r="G1225" s="42">
        <v>200.32</v>
      </c>
      <c r="H1225">
        <v>0.20032</v>
      </c>
      <c r="K1225" s="1"/>
      <c r="L1225" s="37">
        <f>IF(H1225&gt;30,QUOTIENT(H1225,30)*VLOOKUP(D1225,'报价表-配送'!$B$16:$I$21,8,0),0)+IF(AND(MOD(H1225,30)&gt;18,MOD(H1225,30)&lt;=30),1,0)*VLOOKUP(D1225,'报价表-配送'!$B$16:$I$21,8,0)+IF(AND(MOD(H1225,30)&gt;8,MOD(H1225,30)&lt;=18),1*VLOOKUP(D1225,'报价表-配送'!$B$16:$I$21,7,0),0)+IF(AND(MOD(H1225,30)&lt;=8,MOD(H1225,30)&gt;2.5),1,0)*VLOOKUP(D1225,'报价表-配送'!$B$16:$I$21,6,0)+IF(AND(MOD(H1225,30)&lt;=2.5,MOD(H1225,30)&gt;=1.5),1,0)*VLOOKUP(D1225,'报价表-配送'!$B$16:$I$21,5,0)</f>
        <v>0</v>
      </c>
      <c r="M1225" s="39">
        <f>IF(AND(MOD(H1225,30)&lt;1.5,MOD(H1225,30)&gt;=0.5),H1225,0)*VLOOKUP(D1225,'报价表-配送'!$B$16:$I$21,4,0)*1000+IF(AND(MOD(H1225,30)&lt;0.5,MOD(H1225,30)&gt;=0.02),H1225,0)*VLOOKUP(D1225,'报价表-配送'!$B$16:$I$21,3,0)*1000+IF(AND(MOD(H1225,30)&lt;0.02),H1225,0)*VLOOKUP(D1225,'报价表-配送'!$B$16:$I$21,2,0)*1000</f>
        <v>0</v>
      </c>
      <c r="N1225" s="38">
        <f t="shared" si="18"/>
        <v>0</v>
      </c>
    </row>
    <row r="1226" spans="1:14" x14ac:dyDescent="0.25">
      <c r="A1226" t="s">
        <v>82</v>
      </c>
      <c r="B1226" s="43" t="s">
        <v>144</v>
      </c>
      <c r="C1226" s="62">
        <f>VLOOKUP(B1226,合并仓明细!$D$2:$F$74,3,0)</f>
        <v>487</v>
      </c>
      <c r="D1226" s="44" t="s">
        <v>25</v>
      </c>
      <c r="E1226" s="43" t="s">
        <v>254</v>
      </c>
      <c r="F1226" t="s">
        <v>67</v>
      </c>
      <c r="G1226" s="42">
        <v>1353.6399999999999</v>
      </c>
      <c r="H1226">
        <v>1.35364</v>
      </c>
      <c r="I1226" s="38">
        <f>IF(H1226&gt;30,QUOTIENT(H1226,30)*VLOOKUP(D1226,'报价表-配送'!$B$16:$I$21,8,0),0)+IF(AND(MOD(H1226,30)&gt;18,MOD(H1226,30)&lt;=30),1,0)*VLOOKUP(D1226,'报价表-配送'!$B$16:$I$21,8,0)</f>
        <v>0</v>
      </c>
      <c r="J1226" s="38">
        <f>IF(AND(MOD(H1226,30)&gt;8,MOD(H1226,30)&lt;=18),1*VLOOKUP(D1226,'报价表-配送'!$B$16:$I$21,7,0),0)</f>
        <v>0</v>
      </c>
      <c r="K1226" s="38">
        <f>IF(AND(MOD(H1226,30)&lt;=8,MOD(H1226,30)&gt;0),1,0)*VLOOKUP(D1226,'报价表-配送'!$B$16:$I$21,6,0)</f>
        <v>0</v>
      </c>
      <c r="L1226" s="33"/>
      <c r="M1226" s="1"/>
      <c r="N1226" s="38">
        <f t="shared" si="18"/>
        <v>0</v>
      </c>
    </row>
    <row r="1227" spans="1:14" x14ac:dyDescent="0.25">
      <c r="A1227" t="s">
        <v>82</v>
      </c>
      <c r="B1227" s="43" t="s">
        <v>144</v>
      </c>
      <c r="C1227" s="62">
        <f>VLOOKUP(B1227,合并仓明细!$D$2:$F$74,3,0)</f>
        <v>487</v>
      </c>
      <c r="D1227" s="44" t="s">
        <v>25</v>
      </c>
      <c r="E1227" s="43" t="s">
        <v>367</v>
      </c>
      <c r="F1227" t="s">
        <v>66</v>
      </c>
      <c r="G1227" s="42">
        <v>178.22999999999996</v>
      </c>
      <c r="H1227">
        <v>0.17822999999999997</v>
      </c>
      <c r="I1227" s="46"/>
      <c r="J1227" s="61"/>
      <c r="K1227" s="61"/>
      <c r="L1227" s="37">
        <f>IF(H1227&gt;30,QUOTIENT(H1227,30)*VLOOKUP(D1227,'报价表-配送'!$B$16:$I$21,8,0),0)+IF(AND(MOD(H1227,30)&gt;18,MOD(H1227,30)&lt;=30),1,0)*VLOOKUP(D1227,'报价表-配送'!$B$16:$I$21,8,0)+IF(AND(MOD(H1227,30)&gt;8,MOD(H1227,30)&lt;=18),1*VLOOKUP(D1227,'报价表-配送'!$B$16:$I$21,7,0),0)+IF(AND(MOD(H1227,30)&lt;=8,MOD(H1227,30)&gt;2.5),1,0)*VLOOKUP(D1227,'报价表-配送'!$B$16:$I$21,6,0)+IF(AND(MOD(H1227,30)&lt;=2.5,MOD(H1227,30)&gt;=1.5),1,0)*VLOOKUP(D1227,'报价表-配送'!$B$16:$I$21,5,0)</f>
        <v>0</v>
      </c>
      <c r="M1227" s="39">
        <f>IF(AND(MOD(H1227,30)&lt;1.5,MOD(H1227,30)&gt;=0.5),H1227,0)*VLOOKUP(D1227,'报价表-配送'!$B$16:$I$21,4,0)*1000+IF(AND(MOD(H1227,30)&lt;0.5,MOD(H1227,30)&gt;=0.02),H1227,0)*VLOOKUP(D1227,'报价表-配送'!$B$16:$I$21,3,0)*1000+IF(AND(MOD(H1227,30)&lt;0.02),H1227,0)*VLOOKUP(D1227,'报价表-配送'!$B$16:$I$21,2,0)*1000</f>
        <v>0</v>
      </c>
      <c r="N1227" s="38">
        <f t="shared" si="18"/>
        <v>0</v>
      </c>
    </row>
    <row r="1228" spans="1:14" x14ac:dyDescent="0.25">
      <c r="A1228" t="s">
        <v>82</v>
      </c>
      <c r="B1228" s="43" t="s">
        <v>144</v>
      </c>
      <c r="C1228" s="62">
        <f>VLOOKUP(B1228,合并仓明细!$D$2:$F$74,3,0)</f>
        <v>487</v>
      </c>
      <c r="D1228" s="44" t="s">
        <v>25</v>
      </c>
      <c r="E1228" s="43" t="s">
        <v>255</v>
      </c>
      <c r="F1228" t="s">
        <v>66</v>
      </c>
      <c r="G1228" s="42">
        <v>4.24</v>
      </c>
      <c r="H1228">
        <v>4.2399999999999998E-3</v>
      </c>
      <c r="K1228" s="1"/>
      <c r="L1228" s="37">
        <f>IF(H1228&gt;30,QUOTIENT(H1228,30)*VLOOKUP(D1228,'报价表-配送'!$B$16:$I$21,8,0),0)+IF(AND(MOD(H1228,30)&gt;18,MOD(H1228,30)&lt;=30),1,0)*VLOOKUP(D1228,'报价表-配送'!$B$16:$I$21,8,0)+IF(AND(MOD(H1228,30)&gt;8,MOD(H1228,30)&lt;=18),1*VLOOKUP(D1228,'报价表-配送'!$B$16:$I$21,7,0),0)+IF(AND(MOD(H1228,30)&lt;=8,MOD(H1228,30)&gt;2.5),1,0)*VLOOKUP(D1228,'报价表-配送'!$B$16:$I$21,6,0)+IF(AND(MOD(H1228,30)&lt;=2.5,MOD(H1228,30)&gt;=1.5),1,0)*VLOOKUP(D1228,'报价表-配送'!$B$16:$I$21,5,0)</f>
        <v>0</v>
      </c>
      <c r="M1228" s="39">
        <f>IF(AND(MOD(H1228,30)&lt;1.5,MOD(H1228,30)&gt;=0.5),H1228,0)*VLOOKUP(D1228,'报价表-配送'!$B$16:$I$21,4,0)*1000+IF(AND(MOD(H1228,30)&lt;0.5,MOD(H1228,30)&gt;=0.02),H1228,0)*VLOOKUP(D1228,'报价表-配送'!$B$16:$I$21,3,0)*1000+IF(AND(MOD(H1228,30)&lt;0.02),H1228,0)*VLOOKUP(D1228,'报价表-配送'!$B$16:$I$21,2,0)*1000</f>
        <v>0</v>
      </c>
      <c r="N1228" s="38">
        <f t="shared" si="18"/>
        <v>0</v>
      </c>
    </row>
    <row r="1229" spans="1:14" x14ac:dyDescent="0.25">
      <c r="A1229" t="s">
        <v>82</v>
      </c>
      <c r="B1229" s="43" t="s">
        <v>145</v>
      </c>
      <c r="C1229" s="62">
        <f>VLOOKUP(B1229,合并仓明细!$D$2:$F$74,3,0)</f>
        <v>184</v>
      </c>
      <c r="D1229" t="s">
        <v>413</v>
      </c>
      <c r="E1229" s="43" t="s">
        <v>368</v>
      </c>
      <c r="F1229" t="s">
        <v>67</v>
      </c>
      <c r="G1229" s="42">
        <v>800.97</v>
      </c>
      <c r="H1229">
        <v>1.1589400000000001</v>
      </c>
      <c r="I1229" s="38">
        <f>IF(H1229&gt;30,QUOTIENT(H1229,30)*VLOOKUP(D1229,'报价表-配送'!$B$16:$I$21,8,0),0)+IF(AND(MOD(H1229,30)&gt;18,MOD(H1229,30)&lt;=30),1,0)*VLOOKUP(D1229,'报价表-配送'!$B$16:$I$21,8,0)</f>
        <v>0</v>
      </c>
      <c r="J1229" s="38">
        <f>IF(AND(MOD(H1229,30)&gt;8,MOD(H1229,30)&lt;=18),1*VLOOKUP(D1229,'报价表-配送'!$B$16:$I$21,7,0),0)</f>
        <v>0</v>
      </c>
      <c r="K1229" s="38">
        <f>IF(AND(MOD(H1229,30)&lt;=8,MOD(H1229,30)&gt;0),1,0)*VLOOKUP(D1229,'报价表-配送'!$B$16:$I$21,6,0)</f>
        <v>0</v>
      </c>
      <c r="L1229" s="60"/>
      <c r="M1229" s="60"/>
      <c r="N1229" s="38">
        <f t="shared" si="18"/>
        <v>0</v>
      </c>
    </row>
    <row r="1230" spans="1:14" x14ac:dyDescent="0.25">
      <c r="A1230" t="s">
        <v>82</v>
      </c>
      <c r="B1230" s="43" t="s">
        <v>145</v>
      </c>
      <c r="C1230" s="62">
        <f>VLOOKUP(B1230,合并仓明细!$D$2:$F$74,3,0)</f>
        <v>184</v>
      </c>
      <c r="D1230" t="s">
        <v>413</v>
      </c>
      <c r="E1230" s="43" t="s">
        <v>368</v>
      </c>
      <c r="F1230" t="s">
        <v>66</v>
      </c>
      <c r="G1230" s="42">
        <v>357.96999999999997</v>
      </c>
      <c r="H1230"/>
      <c r="K1230" s="1"/>
      <c r="L1230" s="33"/>
      <c r="M1230" s="1"/>
      <c r="N1230" s="38">
        <f t="shared" si="18"/>
        <v>0</v>
      </c>
    </row>
    <row r="1231" spans="1:14" x14ac:dyDescent="0.25">
      <c r="A1231" t="s">
        <v>82</v>
      </c>
      <c r="B1231" s="43" t="s">
        <v>145</v>
      </c>
      <c r="C1231" s="62">
        <f>VLOOKUP(B1231,合并仓明细!$D$2:$F$74,3,0)</f>
        <v>184</v>
      </c>
      <c r="D1231" t="s">
        <v>413</v>
      </c>
      <c r="E1231" s="43" t="s">
        <v>337</v>
      </c>
      <c r="F1231" t="s">
        <v>66</v>
      </c>
      <c r="G1231" s="42">
        <v>140</v>
      </c>
      <c r="H1231">
        <v>0.14000000000000001</v>
      </c>
      <c r="K1231" s="1"/>
      <c r="L1231" s="37">
        <f>IF(H1231&gt;30,QUOTIENT(H1231,30)*VLOOKUP(D1231,'报价表-配送'!$B$16:$I$21,8,0),0)+IF(AND(MOD(H1231,30)&gt;18,MOD(H1231,30)&lt;=30),1,0)*VLOOKUP(D1231,'报价表-配送'!$B$16:$I$21,8,0)+IF(AND(MOD(H1231,30)&gt;8,MOD(H1231,30)&lt;=18),1*VLOOKUP(D1231,'报价表-配送'!$B$16:$I$21,7,0),0)+IF(AND(MOD(H1231,30)&lt;=8,MOD(H1231,30)&gt;2.5),1,0)*VLOOKUP(D1231,'报价表-配送'!$B$16:$I$21,6,0)+IF(AND(MOD(H1231,30)&lt;=2.5,MOD(H1231,30)&gt;=1.5),1,0)*VLOOKUP(D1231,'报价表-配送'!$B$16:$I$21,5,0)</f>
        <v>0</v>
      </c>
      <c r="M1231" s="39">
        <f>IF(AND(MOD(H1231,30)&lt;1.5,MOD(H1231,30)&gt;=0.5),H1231,0)*VLOOKUP(D1231,'报价表-配送'!$B$16:$I$21,4,0)*1000+IF(AND(MOD(H1231,30)&lt;0.5,MOD(H1231,30)&gt;=0.02),H1231,0)*VLOOKUP(D1231,'报价表-配送'!$B$16:$I$21,3,0)*1000+IF(AND(MOD(H1231,30)&lt;0.02),H1231,0)*VLOOKUP(D1231,'报价表-配送'!$B$16:$I$21,2,0)*1000</f>
        <v>0</v>
      </c>
      <c r="N1231" s="38">
        <f t="shared" si="18"/>
        <v>0</v>
      </c>
    </row>
    <row r="1232" spans="1:14" x14ac:dyDescent="0.25">
      <c r="A1232" t="s">
        <v>82</v>
      </c>
      <c r="B1232" s="43" t="s">
        <v>145</v>
      </c>
      <c r="C1232" s="62">
        <f>VLOOKUP(B1232,合并仓明细!$D$2:$F$74,3,0)</f>
        <v>184</v>
      </c>
      <c r="D1232" t="s">
        <v>413</v>
      </c>
      <c r="E1232" s="43" t="s">
        <v>277</v>
      </c>
      <c r="F1232" t="s">
        <v>66</v>
      </c>
      <c r="G1232" s="42">
        <v>80.48</v>
      </c>
      <c r="H1232">
        <v>8.048000000000001E-2</v>
      </c>
      <c r="I1232" s="38"/>
      <c r="J1232" s="38"/>
      <c r="K1232" s="38"/>
      <c r="L1232" s="37">
        <f>IF(H1232&gt;30,QUOTIENT(H1232,30)*VLOOKUP(D1232,'报价表-配送'!$B$16:$I$21,8,0),0)+IF(AND(MOD(H1232,30)&gt;18,MOD(H1232,30)&lt;=30),1,0)*VLOOKUP(D1232,'报价表-配送'!$B$16:$I$21,8,0)+IF(AND(MOD(H1232,30)&gt;8,MOD(H1232,30)&lt;=18),1*VLOOKUP(D1232,'报价表-配送'!$B$16:$I$21,7,0),0)+IF(AND(MOD(H1232,30)&lt;=8,MOD(H1232,30)&gt;2.5),1,0)*VLOOKUP(D1232,'报价表-配送'!$B$16:$I$21,6,0)+IF(AND(MOD(H1232,30)&lt;=2.5,MOD(H1232,30)&gt;=1.5),1,0)*VLOOKUP(D1232,'报价表-配送'!$B$16:$I$21,5,0)</f>
        <v>0</v>
      </c>
      <c r="M1232" s="39">
        <f>IF(AND(MOD(H1232,30)&lt;1.5,MOD(H1232,30)&gt;=0.5),H1232,0)*VLOOKUP(D1232,'报价表-配送'!$B$16:$I$21,4,0)*1000+IF(AND(MOD(H1232,30)&lt;0.5,MOD(H1232,30)&gt;=0.02),H1232,0)*VLOOKUP(D1232,'报价表-配送'!$B$16:$I$21,3,0)*1000+IF(AND(MOD(H1232,30)&lt;0.02),H1232,0)*VLOOKUP(D1232,'报价表-配送'!$B$16:$I$21,2,0)*1000</f>
        <v>0</v>
      </c>
      <c r="N1232" s="38">
        <f t="shared" si="18"/>
        <v>0</v>
      </c>
    </row>
    <row r="1233" spans="1:14" x14ac:dyDescent="0.25">
      <c r="A1233" t="s">
        <v>82</v>
      </c>
      <c r="B1233" s="43" t="s">
        <v>145</v>
      </c>
      <c r="C1233" s="62">
        <f>VLOOKUP(B1233,合并仓明细!$D$2:$F$74,3,0)</f>
        <v>184</v>
      </c>
      <c r="D1233" t="s">
        <v>413</v>
      </c>
      <c r="E1233" s="43" t="s">
        <v>278</v>
      </c>
      <c r="F1233" t="s">
        <v>66</v>
      </c>
      <c r="G1233" s="42">
        <v>7.28</v>
      </c>
      <c r="H1233">
        <v>7.28E-3</v>
      </c>
      <c r="K1233" s="1"/>
      <c r="L1233" s="37">
        <f>IF(H1233&gt;30,QUOTIENT(H1233,30)*VLOOKUP(D1233,'报价表-配送'!$B$16:$I$21,8,0),0)+IF(AND(MOD(H1233,30)&gt;18,MOD(H1233,30)&lt;=30),1,0)*VLOOKUP(D1233,'报价表-配送'!$B$16:$I$21,8,0)+IF(AND(MOD(H1233,30)&gt;8,MOD(H1233,30)&lt;=18),1*VLOOKUP(D1233,'报价表-配送'!$B$16:$I$21,7,0),0)+IF(AND(MOD(H1233,30)&lt;=8,MOD(H1233,30)&gt;2.5),1,0)*VLOOKUP(D1233,'报价表-配送'!$B$16:$I$21,6,0)+IF(AND(MOD(H1233,30)&lt;=2.5,MOD(H1233,30)&gt;=1.5),1,0)*VLOOKUP(D1233,'报价表-配送'!$B$16:$I$21,5,0)</f>
        <v>0</v>
      </c>
      <c r="M1233" s="39">
        <f>IF(AND(MOD(H1233,30)&lt;1.5,MOD(H1233,30)&gt;=0.5),H1233,0)*VLOOKUP(D1233,'报价表-配送'!$B$16:$I$21,4,0)*1000+IF(AND(MOD(H1233,30)&lt;0.5,MOD(H1233,30)&gt;=0.02),H1233,0)*VLOOKUP(D1233,'报价表-配送'!$B$16:$I$21,3,0)*1000+IF(AND(MOD(H1233,30)&lt;0.02),H1233,0)*VLOOKUP(D1233,'报价表-配送'!$B$16:$I$21,2,0)*1000</f>
        <v>0</v>
      </c>
      <c r="N1233" s="38">
        <f t="shared" si="18"/>
        <v>0</v>
      </c>
    </row>
    <row r="1234" spans="1:14" x14ac:dyDescent="0.25">
      <c r="A1234" t="s">
        <v>82</v>
      </c>
      <c r="B1234" s="43" t="s">
        <v>145</v>
      </c>
      <c r="C1234" s="62">
        <f>VLOOKUP(B1234,合并仓明细!$D$2:$F$74,3,0)</f>
        <v>184</v>
      </c>
      <c r="D1234" t="s">
        <v>413</v>
      </c>
      <c r="E1234" s="43" t="s">
        <v>280</v>
      </c>
      <c r="F1234" t="s">
        <v>67</v>
      </c>
      <c r="G1234" s="42">
        <v>8488.81</v>
      </c>
      <c r="H1234">
        <v>8.8888099999999994</v>
      </c>
      <c r="I1234" s="38">
        <f>IF(H1234&gt;30,QUOTIENT(H1234,30)*VLOOKUP(D1234,'报价表-配送'!$B$16:$I$21,8,0),0)+IF(AND(MOD(H1234,30)&gt;18,MOD(H1234,30)&lt;=30),1,0)*VLOOKUP(D1234,'报价表-配送'!$B$16:$I$21,8,0)</f>
        <v>0</v>
      </c>
      <c r="J1234" s="38">
        <f>IF(AND(MOD(H1234,30)&gt;8,MOD(H1234,30)&lt;=18),1*VLOOKUP(D1234,'报价表-配送'!$B$16:$I$21,7,0),0)</f>
        <v>0</v>
      </c>
      <c r="K1234" s="38">
        <f>IF(AND(MOD(H1234,30)&lt;=8,MOD(H1234,30)&gt;0),1,0)*VLOOKUP(D1234,'报价表-配送'!$B$16:$I$21,6,0)</f>
        <v>0</v>
      </c>
      <c r="L1234" s="33"/>
      <c r="M1234" s="1"/>
      <c r="N1234" s="38">
        <f t="shared" si="18"/>
        <v>0</v>
      </c>
    </row>
    <row r="1235" spans="1:14" x14ac:dyDescent="0.25">
      <c r="A1235" t="s">
        <v>82</v>
      </c>
      <c r="B1235" s="43" t="s">
        <v>145</v>
      </c>
      <c r="C1235" s="62">
        <f>VLOOKUP(B1235,合并仓明细!$D$2:$F$74,3,0)</f>
        <v>184</v>
      </c>
      <c r="D1235" t="s">
        <v>413</v>
      </c>
      <c r="E1235" s="43" t="s">
        <v>280</v>
      </c>
      <c r="F1235" t="s">
        <v>66</v>
      </c>
      <c r="G1235" s="42">
        <v>400</v>
      </c>
      <c r="H1235"/>
      <c r="K1235" s="1"/>
      <c r="L1235" s="33"/>
      <c r="M1235" s="1"/>
      <c r="N1235" s="38">
        <f t="shared" si="18"/>
        <v>0</v>
      </c>
    </row>
    <row r="1236" spans="1:14" x14ac:dyDescent="0.25">
      <c r="A1236" t="s">
        <v>82</v>
      </c>
      <c r="B1236" s="43" t="s">
        <v>145</v>
      </c>
      <c r="C1236" s="62">
        <f>VLOOKUP(B1236,合并仓明细!$D$2:$F$74,3,0)</f>
        <v>184</v>
      </c>
      <c r="D1236" t="s">
        <v>413</v>
      </c>
      <c r="E1236" s="43" t="s">
        <v>285</v>
      </c>
      <c r="F1236" t="s">
        <v>66</v>
      </c>
      <c r="G1236" s="42">
        <v>108.77</v>
      </c>
      <c r="H1236">
        <v>0.10876999999999999</v>
      </c>
      <c r="I1236" s="46"/>
      <c r="J1236" s="61"/>
      <c r="K1236" s="61"/>
      <c r="L1236" s="37">
        <f>IF(H1236&gt;30,QUOTIENT(H1236,30)*VLOOKUP(D1236,'报价表-配送'!$B$16:$I$21,8,0),0)+IF(AND(MOD(H1236,30)&gt;18,MOD(H1236,30)&lt;=30),1,0)*VLOOKUP(D1236,'报价表-配送'!$B$16:$I$21,8,0)+IF(AND(MOD(H1236,30)&gt;8,MOD(H1236,30)&lt;=18),1*VLOOKUP(D1236,'报价表-配送'!$B$16:$I$21,7,0),0)+IF(AND(MOD(H1236,30)&lt;=8,MOD(H1236,30)&gt;2.5),1,0)*VLOOKUP(D1236,'报价表-配送'!$B$16:$I$21,6,0)+IF(AND(MOD(H1236,30)&lt;=2.5,MOD(H1236,30)&gt;=1.5),1,0)*VLOOKUP(D1236,'报价表-配送'!$B$16:$I$21,5,0)</f>
        <v>0</v>
      </c>
      <c r="M1236" s="39">
        <f>IF(AND(MOD(H1236,30)&lt;1.5,MOD(H1236,30)&gt;=0.5),H1236,0)*VLOOKUP(D1236,'报价表-配送'!$B$16:$I$21,4,0)*1000+IF(AND(MOD(H1236,30)&lt;0.5,MOD(H1236,30)&gt;=0.02),H1236,0)*VLOOKUP(D1236,'报价表-配送'!$B$16:$I$21,3,0)*1000+IF(AND(MOD(H1236,30)&lt;0.02),H1236,0)*VLOOKUP(D1236,'报价表-配送'!$B$16:$I$21,2,0)*1000</f>
        <v>0</v>
      </c>
      <c r="N1236" s="38">
        <f t="shared" si="18"/>
        <v>0</v>
      </c>
    </row>
    <row r="1237" spans="1:14" x14ac:dyDescent="0.25">
      <c r="A1237" t="s">
        <v>82</v>
      </c>
      <c r="B1237" s="43" t="s">
        <v>145</v>
      </c>
      <c r="C1237" s="62">
        <f>VLOOKUP(B1237,合并仓明细!$D$2:$F$74,3,0)</f>
        <v>184</v>
      </c>
      <c r="D1237" t="s">
        <v>413</v>
      </c>
      <c r="E1237" s="43" t="s">
        <v>329</v>
      </c>
      <c r="F1237" t="s">
        <v>66</v>
      </c>
      <c r="G1237" s="42">
        <v>299.88</v>
      </c>
      <c r="H1237">
        <v>0.29987999999999998</v>
      </c>
      <c r="K1237" s="1"/>
      <c r="L1237" s="37">
        <f>IF(H1237&gt;30,QUOTIENT(H1237,30)*VLOOKUP(D1237,'报价表-配送'!$B$16:$I$21,8,0),0)+IF(AND(MOD(H1237,30)&gt;18,MOD(H1237,30)&lt;=30),1,0)*VLOOKUP(D1237,'报价表-配送'!$B$16:$I$21,8,0)+IF(AND(MOD(H1237,30)&gt;8,MOD(H1237,30)&lt;=18),1*VLOOKUP(D1237,'报价表-配送'!$B$16:$I$21,7,0),0)+IF(AND(MOD(H1237,30)&lt;=8,MOD(H1237,30)&gt;2.5),1,0)*VLOOKUP(D1237,'报价表-配送'!$B$16:$I$21,6,0)+IF(AND(MOD(H1237,30)&lt;=2.5,MOD(H1237,30)&gt;=1.5),1,0)*VLOOKUP(D1237,'报价表-配送'!$B$16:$I$21,5,0)</f>
        <v>0</v>
      </c>
      <c r="M1237" s="39">
        <f>IF(AND(MOD(H1237,30)&lt;1.5,MOD(H1237,30)&gt;=0.5),H1237,0)*VLOOKUP(D1237,'报价表-配送'!$B$16:$I$21,4,0)*1000+IF(AND(MOD(H1237,30)&lt;0.5,MOD(H1237,30)&gt;=0.02),H1237,0)*VLOOKUP(D1237,'报价表-配送'!$B$16:$I$21,3,0)*1000+IF(AND(MOD(H1237,30)&lt;0.02),H1237,0)*VLOOKUP(D1237,'报价表-配送'!$B$16:$I$21,2,0)*1000</f>
        <v>0</v>
      </c>
      <c r="N1237" s="38">
        <f t="shared" si="18"/>
        <v>0</v>
      </c>
    </row>
    <row r="1238" spans="1:14" x14ac:dyDescent="0.25">
      <c r="A1238" t="s">
        <v>82</v>
      </c>
      <c r="B1238" s="43" t="s">
        <v>145</v>
      </c>
      <c r="C1238" s="62">
        <f>VLOOKUP(B1238,合并仓明细!$D$2:$F$74,3,0)</f>
        <v>184</v>
      </c>
      <c r="D1238" t="s">
        <v>413</v>
      </c>
      <c r="E1238" s="43" t="s">
        <v>340</v>
      </c>
      <c r="F1238" t="s">
        <v>66</v>
      </c>
      <c r="G1238" s="42">
        <v>11.94</v>
      </c>
      <c r="H1238">
        <v>1.1939999999999999E-2</v>
      </c>
      <c r="K1238" s="1"/>
      <c r="L1238" s="37">
        <f>IF(H1238&gt;30,QUOTIENT(H1238,30)*VLOOKUP(D1238,'报价表-配送'!$B$16:$I$21,8,0),0)+IF(AND(MOD(H1238,30)&gt;18,MOD(H1238,30)&lt;=30),1,0)*VLOOKUP(D1238,'报价表-配送'!$B$16:$I$21,8,0)+IF(AND(MOD(H1238,30)&gt;8,MOD(H1238,30)&lt;=18),1*VLOOKUP(D1238,'报价表-配送'!$B$16:$I$21,7,0),0)+IF(AND(MOD(H1238,30)&lt;=8,MOD(H1238,30)&gt;2.5),1,0)*VLOOKUP(D1238,'报价表-配送'!$B$16:$I$21,6,0)+IF(AND(MOD(H1238,30)&lt;=2.5,MOD(H1238,30)&gt;=1.5),1,0)*VLOOKUP(D1238,'报价表-配送'!$B$16:$I$21,5,0)</f>
        <v>0</v>
      </c>
      <c r="M1238" s="39">
        <f>IF(AND(MOD(H1238,30)&lt;1.5,MOD(H1238,30)&gt;=0.5),H1238,0)*VLOOKUP(D1238,'报价表-配送'!$B$16:$I$21,4,0)*1000+IF(AND(MOD(H1238,30)&lt;0.5,MOD(H1238,30)&gt;=0.02),H1238,0)*VLOOKUP(D1238,'报价表-配送'!$B$16:$I$21,3,0)*1000+IF(AND(MOD(H1238,30)&lt;0.02),H1238,0)*VLOOKUP(D1238,'报价表-配送'!$B$16:$I$21,2,0)*1000</f>
        <v>0</v>
      </c>
      <c r="N1238" s="38">
        <f t="shared" si="18"/>
        <v>0</v>
      </c>
    </row>
    <row r="1239" spans="1:14" x14ac:dyDescent="0.25">
      <c r="A1239" t="s">
        <v>82</v>
      </c>
      <c r="B1239" s="43" t="s">
        <v>145</v>
      </c>
      <c r="C1239" s="62">
        <f>VLOOKUP(B1239,合并仓明细!$D$2:$F$74,3,0)</f>
        <v>184</v>
      </c>
      <c r="D1239" t="s">
        <v>413</v>
      </c>
      <c r="E1239" s="43" t="s">
        <v>250</v>
      </c>
      <c r="F1239" t="s">
        <v>66</v>
      </c>
      <c r="G1239" s="42">
        <v>28.5</v>
      </c>
      <c r="H1239">
        <v>2.8500000000000001E-2</v>
      </c>
      <c r="I1239" s="46"/>
      <c r="J1239" s="61"/>
      <c r="K1239" s="61"/>
      <c r="L1239" s="37">
        <f>IF(H1239&gt;30,QUOTIENT(H1239,30)*VLOOKUP(D1239,'报价表-配送'!$B$16:$I$21,8,0),0)+IF(AND(MOD(H1239,30)&gt;18,MOD(H1239,30)&lt;=30),1,0)*VLOOKUP(D1239,'报价表-配送'!$B$16:$I$21,8,0)+IF(AND(MOD(H1239,30)&gt;8,MOD(H1239,30)&lt;=18),1*VLOOKUP(D1239,'报价表-配送'!$B$16:$I$21,7,0),0)+IF(AND(MOD(H1239,30)&lt;=8,MOD(H1239,30)&gt;2.5),1,0)*VLOOKUP(D1239,'报价表-配送'!$B$16:$I$21,6,0)+IF(AND(MOD(H1239,30)&lt;=2.5,MOD(H1239,30)&gt;=1.5),1,0)*VLOOKUP(D1239,'报价表-配送'!$B$16:$I$21,5,0)</f>
        <v>0</v>
      </c>
      <c r="M1239" s="39">
        <f>IF(AND(MOD(H1239,30)&lt;1.5,MOD(H1239,30)&gt;=0.5),H1239,0)*VLOOKUP(D1239,'报价表-配送'!$B$16:$I$21,4,0)*1000+IF(AND(MOD(H1239,30)&lt;0.5,MOD(H1239,30)&gt;=0.02),H1239,0)*VLOOKUP(D1239,'报价表-配送'!$B$16:$I$21,3,0)*1000+IF(AND(MOD(H1239,30)&lt;0.02),H1239,0)*VLOOKUP(D1239,'报价表-配送'!$B$16:$I$21,2,0)*1000</f>
        <v>0</v>
      </c>
      <c r="N1239" s="38">
        <f t="shared" si="18"/>
        <v>0</v>
      </c>
    </row>
    <row r="1240" spans="1:14" x14ac:dyDescent="0.25">
      <c r="A1240" t="s">
        <v>82</v>
      </c>
      <c r="B1240" s="43" t="s">
        <v>145</v>
      </c>
      <c r="C1240" s="62">
        <f>VLOOKUP(B1240,合并仓明细!$D$2:$F$74,3,0)</f>
        <v>184</v>
      </c>
      <c r="D1240" t="s">
        <v>413</v>
      </c>
      <c r="E1240" s="43" t="s">
        <v>320</v>
      </c>
      <c r="F1240" t="s">
        <v>66</v>
      </c>
      <c r="G1240" s="42">
        <v>78</v>
      </c>
      <c r="H1240">
        <v>7.8E-2</v>
      </c>
      <c r="K1240" s="1"/>
      <c r="L1240" s="37">
        <f>IF(H1240&gt;30,QUOTIENT(H1240,30)*VLOOKUP(D1240,'报价表-配送'!$B$16:$I$21,8,0),0)+IF(AND(MOD(H1240,30)&gt;18,MOD(H1240,30)&lt;=30),1,0)*VLOOKUP(D1240,'报价表-配送'!$B$16:$I$21,8,0)+IF(AND(MOD(H1240,30)&gt;8,MOD(H1240,30)&lt;=18),1*VLOOKUP(D1240,'报价表-配送'!$B$16:$I$21,7,0),0)+IF(AND(MOD(H1240,30)&lt;=8,MOD(H1240,30)&gt;2.5),1,0)*VLOOKUP(D1240,'报价表-配送'!$B$16:$I$21,6,0)+IF(AND(MOD(H1240,30)&lt;=2.5,MOD(H1240,30)&gt;=1.5),1,0)*VLOOKUP(D1240,'报价表-配送'!$B$16:$I$21,5,0)</f>
        <v>0</v>
      </c>
      <c r="M1240" s="39">
        <f>IF(AND(MOD(H1240,30)&lt;1.5,MOD(H1240,30)&gt;=0.5),H1240,0)*VLOOKUP(D1240,'报价表-配送'!$B$16:$I$21,4,0)*1000+IF(AND(MOD(H1240,30)&lt;0.5,MOD(H1240,30)&gt;=0.02),H1240,0)*VLOOKUP(D1240,'报价表-配送'!$B$16:$I$21,3,0)*1000+IF(AND(MOD(H1240,30)&lt;0.02),H1240,0)*VLOOKUP(D1240,'报价表-配送'!$B$16:$I$21,2,0)*1000</f>
        <v>0</v>
      </c>
      <c r="N1240" s="38">
        <f t="shared" si="18"/>
        <v>0</v>
      </c>
    </row>
    <row r="1241" spans="1:14" x14ac:dyDescent="0.25">
      <c r="A1241" t="s">
        <v>82</v>
      </c>
      <c r="B1241" s="43" t="s">
        <v>145</v>
      </c>
      <c r="C1241" s="62">
        <f>VLOOKUP(B1241,合并仓明细!$D$2:$F$74,3,0)</f>
        <v>184</v>
      </c>
      <c r="D1241" t="s">
        <v>413</v>
      </c>
      <c r="E1241" s="43" t="s">
        <v>331</v>
      </c>
      <c r="F1241" t="s">
        <v>66</v>
      </c>
      <c r="G1241" s="42">
        <v>21.3</v>
      </c>
      <c r="H1241">
        <v>2.1299999999999999E-2</v>
      </c>
      <c r="K1241" s="1"/>
      <c r="L1241" s="37">
        <f>IF(H1241&gt;30,QUOTIENT(H1241,30)*VLOOKUP(D1241,'报价表-配送'!$B$16:$I$21,8,0),0)+IF(AND(MOD(H1241,30)&gt;18,MOD(H1241,30)&lt;=30),1,0)*VLOOKUP(D1241,'报价表-配送'!$B$16:$I$21,8,0)+IF(AND(MOD(H1241,30)&gt;8,MOD(H1241,30)&lt;=18),1*VLOOKUP(D1241,'报价表-配送'!$B$16:$I$21,7,0),0)+IF(AND(MOD(H1241,30)&lt;=8,MOD(H1241,30)&gt;2.5),1,0)*VLOOKUP(D1241,'报价表-配送'!$B$16:$I$21,6,0)+IF(AND(MOD(H1241,30)&lt;=2.5,MOD(H1241,30)&gt;=1.5),1,0)*VLOOKUP(D1241,'报价表-配送'!$B$16:$I$21,5,0)</f>
        <v>0</v>
      </c>
      <c r="M1241" s="39">
        <f>IF(AND(MOD(H1241,30)&lt;1.5,MOD(H1241,30)&gt;=0.5),H1241,0)*VLOOKUP(D1241,'报价表-配送'!$B$16:$I$21,4,0)*1000+IF(AND(MOD(H1241,30)&lt;0.5,MOD(H1241,30)&gt;=0.02),H1241,0)*VLOOKUP(D1241,'报价表-配送'!$B$16:$I$21,3,0)*1000+IF(AND(MOD(H1241,30)&lt;0.02),H1241,0)*VLOOKUP(D1241,'报价表-配送'!$B$16:$I$21,2,0)*1000</f>
        <v>0</v>
      </c>
      <c r="N1241" s="38">
        <f t="shared" si="18"/>
        <v>0</v>
      </c>
    </row>
    <row r="1242" spans="1:14" x14ac:dyDescent="0.25">
      <c r="A1242" t="s">
        <v>82</v>
      </c>
      <c r="B1242" s="43" t="s">
        <v>146</v>
      </c>
      <c r="C1242" s="62">
        <f>VLOOKUP(B1242,合并仓明细!$D$2:$F$74,3,0)</f>
        <v>95</v>
      </c>
      <c r="D1242" t="s">
        <v>393</v>
      </c>
      <c r="E1242" s="43" t="s">
        <v>261</v>
      </c>
      <c r="F1242" t="s">
        <v>66</v>
      </c>
      <c r="G1242" s="42">
        <v>504.87999999999994</v>
      </c>
      <c r="H1242">
        <v>0.50487999999999988</v>
      </c>
      <c r="I1242" s="46"/>
      <c r="J1242" s="61"/>
      <c r="K1242" s="61"/>
      <c r="L1242" s="37">
        <f>IF(H1242&gt;30,QUOTIENT(H1242,30)*VLOOKUP(D1242,'报价表-配送'!$B$16:$I$21,8,0),0)+IF(AND(MOD(H1242,30)&gt;18,MOD(H1242,30)&lt;=30),1,0)*VLOOKUP(D1242,'报价表-配送'!$B$16:$I$21,8,0)+IF(AND(MOD(H1242,30)&gt;8,MOD(H1242,30)&lt;=18),1*VLOOKUP(D1242,'报价表-配送'!$B$16:$I$21,7,0),0)+IF(AND(MOD(H1242,30)&lt;=8,MOD(H1242,30)&gt;2.5),1,0)*VLOOKUP(D1242,'报价表-配送'!$B$16:$I$21,6,0)+IF(AND(MOD(H1242,30)&lt;=2.5,MOD(H1242,30)&gt;=1.5),1,0)*VLOOKUP(D1242,'报价表-配送'!$B$16:$I$21,5,0)</f>
        <v>0</v>
      </c>
      <c r="M1242" s="39">
        <f>IF(AND(MOD(H1242,30)&lt;1.5,MOD(H1242,30)&gt;=0.5),H1242,0)*VLOOKUP(D1242,'报价表-配送'!$B$16:$I$21,4,0)*1000+IF(AND(MOD(H1242,30)&lt;0.5,MOD(H1242,30)&gt;=0.02),H1242,0)*VLOOKUP(D1242,'报价表-配送'!$B$16:$I$21,3,0)*1000+IF(AND(MOD(H1242,30)&lt;0.02),H1242,0)*VLOOKUP(D1242,'报价表-配送'!$B$16:$I$21,2,0)*1000</f>
        <v>0</v>
      </c>
      <c r="N1242" s="38">
        <f t="shared" ref="N1242:N1311" si="19">SUM(I1242:M1242)</f>
        <v>0</v>
      </c>
    </row>
    <row r="1243" spans="1:14" x14ac:dyDescent="0.25">
      <c r="A1243" t="s">
        <v>82</v>
      </c>
      <c r="B1243" s="43" t="s">
        <v>146</v>
      </c>
      <c r="C1243" s="62">
        <f>VLOOKUP(B1243,合并仓明细!$D$2:$F$74,3,0)</f>
        <v>95</v>
      </c>
      <c r="D1243" t="s">
        <v>393</v>
      </c>
      <c r="E1243" s="43" t="s">
        <v>308</v>
      </c>
      <c r="F1243" t="s">
        <v>66</v>
      </c>
      <c r="G1243" s="42">
        <v>220.89</v>
      </c>
      <c r="H1243">
        <v>0.22088999999999998</v>
      </c>
      <c r="K1243" s="1"/>
      <c r="L1243" s="37">
        <f>IF(H1243&gt;30,QUOTIENT(H1243,30)*VLOOKUP(D1243,'报价表-配送'!$B$16:$I$21,8,0),0)+IF(AND(MOD(H1243,30)&gt;18,MOD(H1243,30)&lt;=30),1,0)*VLOOKUP(D1243,'报价表-配送'!$B$16:$I$21,8,0)+IF(AND(MOD(H1243,30)&gt;8,MOD(H1243,30)&lt;=18),1*VLOOKUP(D1243,'报价表-配送'!$B$16:$I$21,7,0),0)+IF(AND(MOD(H1243,30)&lt;=8,MOD(H1243,30)&gt;2.5),1,0)*VLOOKUP(D1243,'报价表-配送'!$B$16:$I$21,6,0)+IF(AND(MOD(H1243,30)&lt;=2.5,MOD(H1243,30)&gt;=1.5),1,0)*VLOOKUP(D1243,'报价表-配送'!$B$16:$I$21,5,0)</f>
        <v>0</v>
      </c>
      <c r="M1243" s="39">
        <f>IF(AND(MOD(H1243,30)&lt;1.5,MOD(H1243,30)&gt;=0.5),H1243,0)*VLOOKUP(D1243,'报价表-配送'!$B$16:$I$21,4,0)*1000+IF(AND(MOD(H1243,30)&lt;0.5,MOD(H1243,30)&gt;=0.02),H1243,0)*VLOOKUP(D1243,'报价表-配送'!$B$16:$I$21,3,0)*1000+IF(AND(MOD(H1243,30)&lt;0.02),H1243,0)*VLOOKUP(D1243,'报价表-配送'!$B$16:$I$21,2,0)*1000</f>
        <v>0</v>
      </c>
      <c r="N1243" s="38">
        <f t="shared" si="19"/>
        <v>0</v>
      </c>
    </row>
    <row r="1244" spans="1:14" x14ac:dyDescent="0.25">
      <c r="A1244" t="s">
        <v>82</v>
      </c>
      <c r="B1244" s="43" t="s">
        <v>146</v>
      </c>
      <c r="C1244" s="62">
        <f>VLOOKUP(B1244,合并仓明细!$D$2:$F$74,3,0)</f>
        <v>95</v>
      </c>
      <c r="D1244" t="s">
        <v>393</v>
      </c>
      <c r="E1244" s="43" t="s">
        <v>369</v>
      </c>
      <c r="F1244" t="s">
        <v>66</v>
      </c>
      <c r="G1244" s="42">
        <v>0.56000000000000005</v>
      </c>
      <c r="H1244">
        <v>5.6000000000000006E-4</v>
      </c>
      <c r="I1244" s="46"/>
      <c r="J1244" s="61"/>
      <c r="K1244" s="61"/>
      <c r="L1244" s="37">
        <f>IF(H1244&gt;30,QUOTIENT(H1244,30)*VLOOKUP(D1244,'报价表-配送'!$B$16:$I$21,8,0),0)+IF(AND(MOD(H1244,30)&gt;18,MOD(H1244,30)&lt;=30),1,0)*VLOOKUP(D1244,'报价表-配送'!$B$16:$I$21,8,0)+IF(AND(MOD(H1244,30)&gt;8,MOD(H1244,30)&lt;=18),1*VLOOKUP(D1244,'报价表-配送'!$B$16:$I$21,7,0),0)+IF(AND(MOD(H1244,30)&lt;=8,MOD(H1244,30)&gt;2.5),1,0)*VLOOKUP(D1244,'报价表-配送'!$B$16:$I$21,6,0)+IF(AND(MOD(H1244,30)&lt;=2.5,MOD(H1244,30)&gt;=1.5),1,0)*VLOOKUP(D1244,'报价表-配送'!$B$16:$I$21,5,0)</f>
        <v>0</v>
      </c>
      <c r="M1244" s="39">
        <f>IF(AND(MOD(H1244,30)&lt;1.5,MOD(H1244,30)&gt;=0.5),H1244,0)*VLOOKUP(D1244,'报价表-配送'!$B$16:$I$21,4,0)*1000+IF(AND(MOD(H1244,30)&lt;0.5,MOD(H1244,30)&gt;=0.02),H1244,0)*VLOOKUP(D1244,'报价表-配送'!$B$16:$I$21,3,0)*1000+IF(AND(MOD(H1244,30)&lt;0.02),H1244,0)*VLOOKUP(D1244,'报价表-配送'!$B$16:$I$21,2,0)*1000</f>
        <v>0</v>
      </c>
      <c r="N1244" s="38">
        <f t="shared" si="19"/>
        <v>0</v>
      </c>
    </row>
    <row r="1245" spans="1:14" x14ac:dyDescent="0.25">
      <c r="A1245" t="s">
        <v>82</v>
      </c>
      <c r="B1245" s="43" t="s">
        <v>146</v>
      </c>
      <c r="C1245" s="62">
        <f>VLOOKUP(B1245,合并仓明细!$D$2:$F$74,3,0)</f>
        <v>95</v>
      </c>
      <c r="D1245" t="s">
        <v>393</v>
      </c>
      <c r="E1245" s="43" t="s">
        <v>268</v>
      </c>
      <c r="F1245" t="s">
        <v>66</v>
      </c>
      <c r="G1245" s="42">
        <v>25.12</v>
      </c>
      <c r="H1245">
        <v>2.512E-2</v>
      </c>
      <c r="K1245" s="1"/>
      <c r="L1245" s="37">
        <f>IF(H1245&gt;30,QUOTIENT(H1245,30)*VLOOKUP(D1245,'报价表-配送'!$B$16:$I$21,8,0),0)+IF(AND(MOD(H1245,30)&gt;18,MOD(H1245,30)&lt;=30),1,0)*VLOOKUP(D1245,'报价表-配送'!$B$16:$I$21,8,0)+IF(AND(MOD(H1245,30)&gt;8,MOD(H1245,30)&lt;=18),1*VLOOKUP(D1245,'报价表-配送'!$B$16:$I$21,7,0),0)+IF(AND(MOD(H1245,30)&lt;=8,MOD(H1245,30)&gt;2.5),1,0)*VLOOKUP(D1245,'报价表-配送'!$B$16:$I$21,6,0)+IF(AND(MOD(H1245,30)&lt;=2.5,MOD(H1245,30)&gt;=1.5),1,0)*VLOOKUP(D1245,'报价表-配送'!$B$16:$I$21,5,0)</f>
        <v>0</v>
      </c>
      <c r="M1245" s="39">
        <f>IF(AND(MOD(H1245,30)&lt;1.5,MOD(H1245,30)&gt;=0.5),H1245,0)*VLOOKUP(D1245,'报价表-配送'!$B$16:$I$21,4,0)*1000+IF(AND(MOD(H1245,30)&lt;0.5,MOD(H1245,30)&gt;=0.02),H1245,0)*VLOOKUP(D1245,'报价表-配送'!$B$16:$I$21,3,0)*1000+IF(AND(MOD(H1245,30)&lt;0.02),H1245,0)*VLOOKUP(D1245,'报价表-配送'!$B$16:$I$21,2,0)*1000</f>
        <v>0</v>
      </c>
      <c r="N1245" s="38">
        <f t="shared" si="19"/>
        <v>0</v>
      </c>
    </row>
    <row r="1246" spans="1:14" x14ac:dyDescent="0.25">
      <c r="A1246" t="s">
        <v>82</v>
      </c>
      <c r="B1246" s="43" t="s">
        <v>146</v>
      </c>
      <c r="C1246" s="62">
        <f>VLOOKUP(B1246,合并仓明细!$D$2:$F$74,3,0)</f>
        <v>95</v>
      </c>
      <c r="D1246" t="s">
        <v>393</v>
      </c>
      <c r="E1246" s="43" t="s">
        <v>275</v>
      </c>
      <c r="F1246" t="s">
        <v>68</v>
      </c>
      <c r="G1246" s="42">
        <v>1306.0899999999999</v>
      </c>
      <c r="H1246">
        <v>2.87317</v>
      </c>
      <c r="I1246" s="46">
        <f>ROUNDUP(H1246/30,0)*VLOOKUP(D1246,'报价表-配送'!$B$16:$I$21,8,0)</f>
        <v>0</v>
      </c>
      <c r="J1246" s="61"/>
      <c r="K1246" s="61"/>
      <c r="L1246" s="60"/>
      <c r="M1246" s="60"/>
      <c r="N1246" s="38">
        <f t="shared" si="19"/>
        <v>0</v>
      </c>
    </row>
    <row r="1247" spans="1:14" x14ac:dyDescent="0.25">
      <c r="A1247" t="s">
        <v>82</v>
      </c>
      <c r="B1247" s="43" t="s">
        <v>146</v>
      </c>
      <c r="C1247" s="62">
        <f>VLOOKUP(B1247,合并仓明细!$D$2:$F$74,3,0)</f>
        <v>95</v>
      </c>
      <c r="D1247" t="s">
        <v>393</v>
      </c>
      <c r="E1247" s="43" t="s">
        <v>275</v>
      </c>
      <c r="F1247" t="s">
        <v>66</v>
      </c>
      <c r="G1247" s="42">
        <v>1567.08</v>
      </c>
      <c r="H1247"/>
      <c r="K1247" s="1"/>
      <c r="L1247" s="33"/>
      <c r="M1247" s="1"/>
      <c r="N1247" s="38">
        <f t="shared" si="19"/>
        <v>0</v>
      </c>
    </row>
    <row r="1248" spans="1:14" x14ac:dyDescent="0.25">
      <c r="A1248" t="s">
        <v>82</v>
      </c>
      <c r="B1248" s="43" t="s">
        <v>146</v>
      </c>
      <c r="C1248" s="62">
        <f>VLOOKUP(B1248,合并仓明细!$D$2:$F$74,3,0)</f>
        <v>95</v>
      </c>
      <c r="D1248" t="s">
        <v>393</v>
      </c>
      <c r="E1248" s="43" t="s">
        <v>278</v>
      </c>
      <c r="F1248" t="s">
        <v>66</v>
      </c>
      <c r="G1248" s="42">
        <v>5.93</v>
      </c>
      <c r="H1248">
        <v>5.9299999999999995E-3</v>
      </c>
      <c r="K1248" s="1"/>
      <c r="L1248" s="37">
        <f>IF(H1248&gt;30,QUOTIENT(H1248,30)*VLOOKUP(D1248,'报价表-配送'!$B$16:$I$21,8,0),0)+IF(AND(MOD(H1248,30)&gt;18,MOD(H1248,30)&lt;=30),1,0)*VLOOKUP(D1248,'报价表-配送'!$B$16:$I$21,8,0)+IF(AND(MOD(H1248,30)&gt;8,MOD(H1248,30)&lt;=18),1*VLOOKUP(D1248,'报价表-配送'!$B$16:$I$21,7,0),0)+IF(AND(MOD(H1248,30)&lt;=8,MOD(H1248,30)&gt;2.5),1,0)*VLOOKUP(D1248,'报价表-配送'!$B$16:$I$21,6,0)+IF(AND(MOD(H1248,30)&lt;=2.5,MOD(H1248,30)&gt;=1.5),1,0)*VLOOKUP(D1248,'报价表-配送'!$B$16:$I$21,5,0)</f>
        <v>0</v>
      </c>
      <c r="M1248" s="39">
        <f>IF(AND(MOD(H1248,30)&lt;1.5,MOD(H1248,30)&gt;=0.5),H1248,0)*VLOOKUP(D1248,'报价表-配送'!$B$16:$I$21,4,0)*1000+IF(AND(MOD(H1248,30)&lt;0.5,MOD(H1248,30)&gt;=0.02),H1248,0)*VLOOKUP(D1248,'报价表-配送'!$B$16:$I$21,3,0)*1000+IF(AND(MOD(H1248,30)&lt;0.02),H1248,0)*VLOOKUP(D1248,'报价表-配送'!$B$16:$I$21,2,0)*1000</f>
        <v>0</v>
      </c>
      <c r="N1248" s="38">
        <f t="shared" si="19"/>
        <v>0</v>
      </c>
    </row>
    <row r="1249" spans="1:14" x14ac:dyDescent="0.25">
      <c r="A1249" t="s">
        <v>82</v>
      </c>
      <c r="B1249" s="43" t="s">
        <v>146</v>
      </c>
      <c r="C1249" s="62">
        <f>VLOOKUP(B1249,合并仓明细!$D$2:$F$74,3,0)</f>
        <v>95</v>
      </c>
      <c r="D1249" t="s">
        <v>393</v>
      </c>
      <c r="E1249" s="43" t="s">
        <v>312</v>
      </c>
      <c r="F1249" t="s">
        <v>66</v>
      </c>
      <c r="G1249" s="42">
        <v>55.6</v>
      </c>
      <c r="H1249">
        <v>5.5600000000000004E-2</v>
      </c>
      <c r="I1249" s="46"/>
      <c r="J1249" s="61"/>
      <c r="K1249" s="61"/>
      <c r="L1249" s="37">
        <f>IF(H1249&gt;30,QUOTIENT(H1249,30)*VLOOKUP(D1249,'报价表-配送'!$B$16:$I$21,8,0),0)+IF(AND(MOD(H1249,30)&gt;18,MOD(H1249,30)&lt;=30),1,0)*VLOOKUP(D1249,'报价表-配送'!$B$16:$I$21,8,0)+IF(AND(MOD(H1249,30)&gt;8,MOD(H1249,30)&lt;=18),1*VLOOKUP(D1249,'报价表-配送'!$B$16:$I$21,7,0),0)+IF(AND(MOD(H1249,30)&lt;=8,MOD(H1249,30)&gt;2.5),1,0)*VLOOKUP(D1249,'报价表-配送'!$B$16:$I$21,6,0)+IF(AND(MOD(H1249,30)&lt;=2.5,MOD(H1249,30)&gt;=1.5),1,0)*VLOOKUP(D1249,'报价表-配送'!$B$16:$I$21,5,0)</f>
        <v>0</v>
      </c>
      <c r="M1249" s="39">
        <f>IF(AND(MOD(H1249,30)&lt;1.5,MOD(H1249,30)&gt;=0.5),H1249,0)*VLOOKUP(D1249,'报价表-配送'!$B$16:$I$21,4,0)*1000+IF(AND(MOD(H1249,30)&lt;0.5,MOD(H1249,30)&gt;=0.02),H1249,0)*VLOOKUP(D1249,'报价表-配送'!$B$16:$I$21,3,0)*1000+IF(AND(MOD(H1249,30)&lt;0.02),H1249,0)*VLOOKUP(D1249,'报价表-配送'!$B$16:$I$21,2,0)*1000</f>
        <v>0</v>
      </c>
      <c r="N1249" s="38">
        <f t="shared" si="19"/>
        <v>0</v>
      </c>
    </row>
    <row r="1250" spans="1:14" x14ac:dyDescent="0.25">
      <c r="A1250" t="s">
        <v>82</v>
      </c>
      <c r="B1250" s="43" t="s">
        <v>146</v>
      </c>
      <c r="C1250" s="62">
        <f>VLOOKUP(B1250,合并仓明细!$D$2:$F$74,3,0)</f>
        <v>95</v>
      </c>
      <c r="D1250" t="s">
        <v>393</v>
      </c>
      <c r="E1250" s="43" t="s">
        <v>339</v>
      </c>
      <c r="F1250" t="s">
        <v>67</v>
      </c>
      <c r="G1250" s="42">
        <v>207.66</v>
      </c>
      <c r="H1250">
        <v>0.20765999999999998</v>
      </c>
      <c r="I1250" s="38">
        <f>IF(H1250&gt;30,QUOTIENT(H1250,30)*VLOOKUP(D1250,'报价表-配送'!$B$16:$I$21,8,0),0)+IF(AND(MOD(H1250,30)&gt;18,MOD(H1250,30)&lt;=30),1,0)*VLOOKUP(D1250,'报价表-配送'!$B$16:$I$21,8,0)</f>
        <v>0</v>
      </c>
      <c r="J1250" s="38">
        <f>IF(AND(MOD(H1250,30)&gt;8,MOD(H1250,30)&lt;=18),1*VLOOKUP(D1250,'报价表-配送'!$B$16:$I$21,7,0),0)</f>
        <v>0</v>
      </c>
      <c r="K1250" s="38">
        <f>IF(AND(MOD(H1250,30)&lt;=8,MOD(H1250,30)&gt;0),1,0)*VLOOKUP(D1250,'报价表-配送'!$B$16:$I$21,6,0)</f>
        <v>0</v>
      </c>
      <c r="L1250" s="33"/>
      <c r="M1250" s="1"/>
      <c r="N1250" s="38">
        <f t="shared" si="19"/>
        <v>0</v>
      </c>
    </row>
    <row r="1251" spans="1:14" x14ac:dyDescent="0.25">
      <c r="A1251" t="s">
        <v>82</v>
      </c>
      <c r="B1251" s="43" t="s">
        <v>146</v>
      </c>
      <c r="C1251" s="62">
        <f>VLOOKUP(B1251,合并仓明细!$D$2:$F$74,3,0)</f>
        <v>95</v>
      </c>
      <c r="D1251" t="s">
        <v>393</v>
      </c>
      <c r="E1251" s="43" t="s">
        <v>324</v>
      </c>
      <c r="F1251" t="s">
        <v>67</v>
      </c>
      <c r="G1251" s="42">
        <v>637.82000000000005</v>
      </c>
      <c r="H1251">
        <v>0.65342000000000011</v>
      </c>
      <c r="I1251" s="38">
        <f>IF(H1251&gt;30,QUOTIENT(H1251,30)*VLOOKUP(D1251,'报价表-配送'!$B$16:$I$21,8,0),0)+IF(AND(MOD(H1251,30)&gt;18,MOD(H1251,30)&lt;=30),1,0)*VLOOKUP(D1251,'报价表-配送'!$B$16:$I$21,8,0)</f>
        <v>0</v>
      </c>
      <c r="J1251" s="38">
        <f>IF(AND(MOD(H1251,30)&gt;8,MOD(H1251,30)&lt;=18),1*VLOOKUP(D1251,'报价表-配送'!$B$16:$I$21,7,0),0)</f>
        <v>0</v>
      </c>
      <c r="K1251" s="38">
        <f>IF(AND(MOD(H1251,30)&lt;=8,MOD(H1251,30)&gt;0),1,0)*VLOOKUP(D1251,'报价表-配送'!$B$16:$I$21,6,0)</f>
        <v>0</v>
      </c>
      <c r="L1251" s="33"/>
      <c r="M1251" s="1"/>
      <c r="N1251" s="38">
        <f t="shared" si="19"/>
        <v>0</v>
      </c>
    </row>
    <row r="1252" spans="1:14" x14ac:dyDescent="0.25">
      <c r="A1252" t="s">
        <v>82</v>
      </c>
      <c r="B1252" s="43" t="s">
        <v>146</v>
      </c>
      <c r="C1252" s="62">
        <f>VLOOKUP(B1252,合并仓明细!$D$2:$F$74,3,0)</f>
        <v>95</v>
      </c>
      <c r="D1252" t="s">
        <v>393</v>
      </c>
      <c r="E1252" s="43" t="s">
        <v>324</v>
      </c>
      <c r="F1252" t="s">
        <v>66</v>
      </c>
      <c r="G1252" s="42">
        <v>15.6</v>
      </c>
      <c r="H1252"/>
      <c r="I1252" s="46"/>
      <c r="J1252" s="61"/>
      <c r="K1252" s="61"/>
      <c r="L1252" s="60"/>
      <c r="M1252" s="60"/>
      <c r="N1252" s="38">
        <f t="shared" si="19"/>
        <v>0</v>
      </c>
    </row>
    <row r="1253" spans="1:14" x14ac:dyDescent="0.25">
      <c r="A1253" t="s">
        <v>82</v>
      </c>
      <c r="B1253" s="43" t="s">
        <v>146</v>
      </c>
      <c r="C1253" s="62">
        <f>VLOOKUP(B1253,合并仓明细!$D$2:$F$74,3,0)</f>
        <v>95</v>
      </c>
      <c r="D1253" t="s">
        <v>393</v>
      </c>
      <c r="E1253" s="43" t="s">
        <v>288</v>
      </c>
      <c r="F1253" t="s">
        <v>66</v>
      </c>
      <c r="G1253" s="42">
        <v>34.36</v>
      </c>
      <c r="H1253">
        <v>3.4360000000000002E-2</v>
      </c>
      <c r="K1253" s="1"/>
      <c r="L1253" s="37">
        <f>IF(H1253&gt;30,QUOTIENT(H1253,30)*VLOOKUP(D1253,'报价表-配送'!$B$16:$I$21,8,0),0)+IF(AND(MOD(H1253,30)&gt;18,MOD(H1253,30)&lt;=30),1,0)*VLOOKUP(D1253,'报价表-配送'!$B$16:$I$21,8,0)+IF(AND(MOD(H1253,30)&gt;8,MOD(H1253,30)&lt;=18),1*VLOOKUP(D1253,'报价表-配送'!$B$16:$I$21,7,0),0)+IF(AND(MOD(H1253,30)&lt;=8,MOD(H1253,30)&gt;2.5),1,0)*VLOOKUP(D1253,'报价表-配送'!$B$16:$I$21,6,0)+IF(AND(MOD(H1253,30)&lt;=2.5,MOD(H1253,30)&gt;=1.5),1,0)*VLOOKUP(D1253,'报价表-配送'!$B$16:$I$21,5,0)</f>
        <v>0</v>
      </c>
      <c r="M1253" s="39">
        <f>IF(AND(MOD(H1253,30)&lt;1.5,MOD(H1253,30)&gt;=0.5),H1253,0)*VLOOKUP(D1253,'报价表-配送'!$B$16:$I$21,4,0)*1000+IF(AND(MOD(H1253,30)&lt;0.5,MOD(H1253,30)&gt;=0.02),H1253,0)*VLOOKUP(D1253,'报价表-配送'!$B$16:$I$21,3,0)*1000+IF(AND(MOD(H1253,30)&lt;0.02),H1253,0)*VLOOKUP(D1253,'报价表-配送'!$B$16:$I$21,2,0)*1000</f>
        <v>0</v>
      </c>
      <c r="N1253" s="38">
        <f t="shared" si="19"/>
        <v>0</v>
      </c>
    </row>
    <row r="1254" spans="1:14" x14ac:dyDescent="0.25">
      <c r="A1254" t="s">
        <v>82</v>
      </c>
      <c r="B1254" s="43" t="s">
        <v>146</v>
      </c>
      <c r="C1254" s="62">
        <f>VLOOKUP(B1254,合并仓明细!$D$2:$F$74,3,0)</f>
        <v>95</v>
      </c>
      <c r="D1254" t="s">
        <v>393</v>
      </c>
      <c r="E1254" s="43" t="s">
        <v>248</v>
      </c>
      <c r="F1254" t="s">
        <v>66</v>
      </c>
      <c r="G1254" s="42">
        <v>152.79000000000002</v>
      </c>
      <c r="H1254">
        <v>0.15279000000000001</v>
      </c>
      <c r="K1254" s="1"/>
      <c r="L1254" s="37">
        <f>IF(H1254&gt;30,QUOTIENT(H1254,30)*VLOOKUP(D1254,'报价表-配送'!$B$16:$I$21,8,0),0)+IF(AND(MOD(H1254,30)&gt;18,MOD(H1254,30)&lt;=30),1,0)*VLOOKUP(D1254,'报价表-配送'!$B$16:$I$21,8,0)+IF(AND(MOD(H1254,30)&gt;8,MOD(H1254,30)&lt;=18),1*VLOOKUP(D1254,'报价表-配送'!$B$16:$I$21,7,0),0)+IF(AND(MOD(H1254,30)&lt;=8,MOD(H1254,30)&gt;2.5),1,0)*VLOOKUP(D1254,'报价表-配送'!$B$16:$I$21,6,0)+IF(AND(MOD(H1254,30)&lt;=2.5,MOD(H1254,30)&gt;=1.5),1,0)*VLOOKUP(D1254,'报价表-配送'!$B$16:$I$21,5,0)</f>
        <v>0</v>
      </c>
      <c r="M1254" s="39">
        <f>IF(AND(MOD(H1254,30)&lt;1.5,MOD(H1254,30)&gt;=0.5),H1254,0)*VLOOKUP(D1254,'报价表-配送'!$B$16:$I$21,4,0)*1000+IF(AND(MOD(H1254,30)&lt;0.5,MOD(H1254,30)&gt;=0.02),H1254,0)*VLOOKUP(D1254,'报价表-配送'!$B$16:$I$21,3,0)*1000+IF(AND(MOD(H1254,30)&lt;0.02),H1254,0)*VLOOKUP(D1254,'报价表-配送'!$B$16:$I$21,2,0)*1000</f>
        <v>0</v>
      </c>
      <c r="N1254" s="38">
        <f t="shared" si="19"/>
        <v>0</v>
      </c>
    </row>
    <row r="1255" spans="1:14" x14ac:dyDescent="0.25">
      <c r="A1255" t="s">
        <v>82</v>
      </c>
      <c r="B1255" s="43" t="s">
        <v>146</v>
      </c>
      <c r="C1255" s="62">
        <f>VLOOKUP(B1255,合并仓明细!$D$2:$F$74,3,0)</f>
        <v>95</v>
      </c>
      <c r="D1255" t="s">
        <v>393</v>
      </c>
      <c r="E1255" s="43" t="s">
        <v>359</v>
      </c>
      <c r="F1255" t="s">
        <v>66</v>
      </c>
      <c r="G1255" s="42">
        <v>163.29999999999998</v>
      </c>
      <c r="H1255">
        <v>0.16329999999999997</v>
      </c>
      <c r="K1255" s="1"/>
      <c r="L1255" s="37">
        <f>IF(H1255&gt;30,QUOTIENT(H1255,30)*VLOOKUP(D1255,'报价表-配送'!$B$16:$I$21,8,0),0)+IF(AND(MOD(H1255,30)&gt;18,MOD(H1255,30)&lt;=30),1,0)*VLOOKUP(D1255,'报价表-配送'!$B$16:$I$21,8,0)+IF(AND(MOD(H1255,30)&gt;8,MOD(H1255,30)&lt;=18),1*VLOOKUP(D1255,'报价表-配送'!$B$16:$I$21,7,0),0)+IF(AND(MOD(H1255,30)&lt;=8,MOD(H1255,30)&gt;2.5),1,0)*VLOOKUP(D1255,'报价表-配送'!$B$16:$I$21,6,0)+IF(AND(MOD(H1255,30)&lt;=2.5,MOD(H1255,30)&gt;=1.5),1,0)*VLOOKUP(D1255,'报价表-配送'!$B$16:$I$21,5,0)</f>
        <v>0</v>
      </c>
      <c r="M1255" s="39">
        <f>IF(AND(MOD(H1255,30)&lt;1.5,MOD(H1255,30)&gt;=0.5),H1255,0)*VLOOKUP(D1255,'报价表-配送'!$B$16:$I$21,4,0)*1000+IF(AND(MOD(H1255,30)&lt;0.5,MOD(H1255,30)&gt;=0.02),H1255,0)*VLOOKUP(D1255,'报价表-配送'!$B$16:$I$21,3,0)*1000+IF(AND(MOD(H1255,30)&lt;0.02),H1255,0)*VLOOKUP(D1255,'报价表-配送'!$B$16:$I$21,2,0)*1000</f>
        <v>0</v>
      </c>
      <c r="N1255" s="38">
        <f t="shared" si="19"/>
        <v>0</v>
      </c>
    </row>
    <row r="1256" spans="1:14" x14ac:dyDescent="0.25">
      <c r="A1256" t="s">
        <v>82</v>
      </c>
      <c r="B1256" s="43" t="s">
        <v>146</v>
      </c>
      <c r="C1256" s="62">
        <f>VLOOKUP(B1256,合并仓明细!$D$2:$F$74,3,0)</f>
        <v>95</v>
      </c>
      <c r="D1256" t="s">
        <v>393</v>
      </c>
      <c r="E1256" s="43" t="s">
        <v>358</v>
      </c>
      <c r="F1256" t="s">
        <v>66</v>
      </c>
      <c r="G1256" s="42">
        <v>874.62999999999988</v>
      </c>
      <c r="H1256">
        <v>0.87462999999999991</v>
      </c>
      <c r="K1256" s="1"/>
      <c r="L1256" s="37">
        <f>IF(H1256&gt;30,QUOTIENT(H1256,30)*VLOOKUP(D1256,'报价表-配送'!$B$16:$I$21,8,0),0)+IF(AND(MOD(H1256,30)&gt;18,MOD(H1256,30)&lt;=30),1,0)*VLOOKUP(D1256,'报价表-配送'!$B$16:$I$21,8,0)+IF(AND(MOD(H1256,30)&gt;8,MOD(H1256,30)&lt;=18),1*VLOOKUP(D1256,'报价表-配送'!$B$16:$I$21,7,0),0)+IF(AND(MOD(H1256,30)&lt;=8,MOD(H1256,30)&gt;2.5),1,0)*VLOOKUP(D1256,'报价表-配送'!$B$16:$I$21,6,0)+IF(AND(MOD(H1256,30)&lt;=2.5,MOD(H1256,30)&gt;=1.5),1,0)*VLOOKUP(D1256,'报价表-配送'!$B$16:$I$21,5,0)</f>
        <v>0</v>
      </c>
      <c r="M1256" s="39">
        <f>IF(AND(MOD(H1256,30)&lt;1.5,MOD(H1256,30)&gt;=0.5),H1256,0)*VLOOKUP(D1256,'报价表-配送'!$B$16:$I$21,4,0)*1000+IF(AND(MOD(H1256,30)&lt;0.5,MOD(H1256,30)&gt;=0.02),H1256,0)*VLOOKUP(D1256,'报价表-配送'!$B$16:$I$21,3,0)*1000+IF(AND(MOD(H1256,30)&lt;0.02),H1256,0)*VLOOKUP(D1256,'报价表-配送'!$B$16:$I$21,2,0)*1000</f>
        <v>0</v>
      </c>
      <c r="N1256" s="38">
        <f t="shared" si="19"/>
        <v>0</v>
      </c>
    </row>
    <row r="1257" spans="1:14" x14ac:dyDescent="0.25">
      <c r="A1257" t="s">
        <v>82</v>
      </c>
      <c r="B1257" s="43" t="s">
        <v>146</v>
      </c>
      <c r="C1257" s="62">
        <f>VLOOKUP(B1257,合并仓明细!$D$2:$F$74,3,0)</f>
        <v>95</v>
      </c>
      <c r="D1257" t="s">
        <v>393</v>
      </c>
      <c r="E1257" s="43" t="s">
        <v>370</v>
      </c>
      <c r="F1257" t="s">
        <v>66</v>
      </c>
      <c r="G1257" s="42">
        <v>2.2000000000000002</v>
      </c>
      <c r="H1257">
        <v>2.2000000000000001E-3</v>
      </c>
      <c r="K1257" s="1"/>
      <c r="L1257" s="37">
        <f>IF(H1257&gt;30,QUOTIENT(H1257,30)*VLOOKUP(D1257,'报价表-配送'!$B$16:$I$21,8,0),0)+IF(AND(MOD(H1257,30)&gt;18,MOD(H1257,30)&lt;=30),1,0)*VLOOKUP(D1257,'报价表-配送'!$B$16:$I$21,8,0)+IF(AND(MOD(H1257,30)&gt;8,MOD(H1257,30)&lt;=18),1*VLOOKUP(D1257,'报价表-配送'!$B$16:$I$21,7,0),0)+IF(AND(MOD(H1257,30)&lt;=8,MOD(H1257,30)&gt;2.5),1,0)*VLOOKUP(D1257,'报价表-配送'!$B$16:$I$21,6,0)+IF(AND(MOD(H1257,30)&lt;=2.5,MOD(H1257,30)&gt;=1.5),1,0)*VLOOKUP(D1257,'报价表-配送'!$B$16:$I$21,5,0)</f>
        <v>0</v>
      </c>
      <c r="M1257" s="39">
        <f>IF(AND(MOD(H1257,30)&lt;1.5,MOD(H1257,30)&gt;=0.5),H1257,0)*VLOOKUP(D1257,'报价表-配送'!$B$16:$I$21,4,0)*1000+IF(AND(MOD(H1257,30)&lt;0.5,MOD(H1257,30)&gt;=0.02),H1257,0)*VLOOKUP(D1257,'报价表-配送'!$B$16:$I$21,3,0)*1000+IF(AND(MOD(H1257,30)&lt;0.02),H1257,0)*VLOOKUP(D1257,'报价表-配送'!$B$16:$I$21,2,0)*1000</f>
        <v>0</v>
      </c>
      <c r="N1257" s="38">
        <f t="shared" si="19"/>
        <v>0</v>
      </c>
    </row>
    <row r="1258" spans="1:14" x14ac:dyDescent="0.25">
      <c r="A1258" t="s">
        <v>82</v>
      </c>
      <c r="B1258" s="43" t="s">
        <v>146</v>
      </c>
      <c r="C1258" s="62">
        <f>VLOOKUP(B1258,合并仓明细!$D$2:$F$74,3,0)</f>
        <v>95</v>
      </c>
      <c r="D1258" t="s">
        <v>393</v>
      </c>
      <c r="E1258" s="43" t="s">
        <v>295</v>
      </c>
      <c r="F1258" t="s">
        <v>66</v>
      </c>
      <c r="G1258" s="42">
        <v>38.739999999999995</v>
      </c>
      <c r="H1258">
        <v>3.8739999999999997E-2</v>
      </c>
      <c r="I1258" s="46"/>
      <c r="J1258" s="61"/>
      <c r="K1258" s="61"/>
      <c r="L1258" s="37">
        <f>IF(H1258&gt;30,QUOTIENT(H1258,30)*VLOOKUP(D1258,'报价表-配送'!$B$16:$I$21,8,0),0)+IF(AND(MOD(H1258,30)&gt;18,MOD(H1258,30)&lt;=30),1,0)*VLOOKUP(D1258,'报价表-配送'!$B$16:$I$21,8,0)+IF(AND(MOD(H1258,30)&gt;8,MOD(H1258,30)&lt;=18),1*VLOOKUP(D1258,'报价表-配送'!$B$16:$I$21,7,0),0)+IF(AND(MOD(H1258,30)&lt;=8,MOD(H1258,30)&gt;2.5),1,0)*VLOOKUP(D1258,'报价表-配送'!$B$16:$I$21,6,0)+IF(AND(MOD(H1258,30)&lt;=2.5,MOD(H1258,30)&gt;=1.5),1,0)*VLOOKUP(D1258,'报价表-配送'!$B$16:$I$21,5,0)</f>
        <v>0</v>
      </c>
      <c r="M1258" s="39">
        <f>IF(AND(MOD(H1258,30)&lt;1.5,MOD(H1258,30)&gt;=0.5),H1258,0)*VLOOKUP(D1258,'报价表-配送'!$B$16:$I$21,4,0)*1000+IF(AND(MOD(H1258,30)&lt;0.5,MOD(H1258,30)&gt;=0.02),H1258,0)*VLOOKUP(D1258,'报价表-配送'!$B$16:$I$21,3,0)*1000+IF(AND(MOD(H1258,30)&lt;0.02),H1258,0)*VLOOKUP(D1258,'报价表-配送'!$B$16:$I$21,2,0)*1000</f>
        <v>0</v>
      </c>
      <c r="N1258" s="38">
        <f t="shared" si="19"/>
        <v>0</v>
      </c>
    </row>
    <row r="1259" spans="1:14" x14ac:dyDescent="0.25">
      <c r="A1259" t="s">
        <v>82</v>
      </c>
      <c r="B1259" s="43" t="s">
        <v>146</v>
      </c>
      <c r="C1259" s="62">
        <f>VLOOKUP(B1259,合并仓明细!$D$2:$F$74,3,0)</f>
        <v>95</v>
      </c>
      <c r="D1259" t="s">
        <v>393</v>
      </c>
      <c r="E1259" s="43" t="s">
        <v>296</v>
      </c>
      <c r="F1259" t="s">
        <v>66</v>
      </c>
      <c r="G1259" s="42">
        <v>145.5</v>
      </c>
      <c r="H1259">
        <v>0.14549999999999999</v>
      </c>
      <c r="K1259" s="1"/>
      <c r="L1259" s="37">
        <f>IF(H1259&gt;30,QUOTIENT(H1259,30)*VLOOKUP(D1259,'报价表-配送'!$B$16:$I$21,8,0),0)+IF(AND(MOD(H1259,30)&gt;18,MOD(H1259,30)&lt;=30),1,0)*VLOOKUP(D1259,'报价表-配送'!$B$16:$I$21,8,0)+IF(AND(MOD(H1259,30)&gt;8,MOD(H1259,30)&lt;=18),1*VLOOKUP(D1259,'报价表-配送'!$B$16:$I$21,7,0),0)+IF(AND(MOD(H1259,30)&lt;=8,MOD(H1259,30)&gt;2.5),1,0)*VLOOKUP(D1259,'报价表-配送'!$B$16:$I$21,6,0)+IF(AND(MOD(H1259,30)&lt;=2.5,MOD(H1259,30)&gt;=1.5),1,0)*VLOOKUP(D1259,'报价表-配送'!$B$16:$I$21,5,0)</f>
        <v>0</v>
      </c>
      <c r="M1259" s="39">
        <f>IF(AND(MOD(H1259,30)&lt;1.5,MOD(H1259,30)&gt;=0.5),H1259,0)*VLOOKUP(D1259,'报价表-配送'!$B$16:$I$21,4,0)*1000+IF(AND(MOD(H1259,30)&lt;0.5,MOD(H1259,30)&gt;=0.02),H1259,0)*VLOOKUP(D1259,'报价表-配送'!$B$16:$I$21,3,0)*1000+IF(AND(MOD(H1259,30)&lt;0.02),H1259,0)*VLOOKUP(D1259,'报价表-配送'!$B$16:$I$21,2,0)*1000</f>
        <v>0</v>
      </c>
      <c r="N1259" s="38">
        <f t="shared" si="19"/>
        <v>0</v>
      </c>
    </row>
    <row r="1260" spans="1:14" x14ac:dyDescent="0.25">
      <c r="A1260" t="s">
        <v>82</v>
      </c>
      <c r="B1260" s="43" t="s">
        <v>146</v>
      </c>
      <c r="C1260" s="62">
        <f>VLOOKUP(B1260,合并仓明细!$D$2:$F$74,3,0)</f>
        <v>95</v>
      </c>
      <c r="D1260" t="s">
        <v>393</v>
      </c>
      <c r="E1260" s="43" t="s">
        <v>326</v>
      </c>
      <c r="F1260" t="s">
        <v>66</v>
      </c>
      <c r="G1260" s="42">
        <v>1567.75</v>
      </c>
      <c r="H1260">
        <v>1.56775</v>
      </c>
      <c r="K1260" s="1"/>
      <c r="L1260" s="37">
        <f>IF(H1260&gt;30,QUOTIENT(H1260,30)*VLOOKUP(D1260,'报价表-配送'!$B$16:$I$21,8,0),0)+IF(AND(MOD(H1260,30)&gt;18,MOD(H1260,30)&lt;=30),1,0)*VLOOKUP(D1260,'报价表-配送'!$B$16:$I$21,8,0)+IF(AND(MOD(H1260,30)&gt;8,MOD(H1260,30)&lt;=18),1*VLOOKUP(D1260,'报价表-配送'!$B$16:$I$21,7,0),0)+IF(AND(MOD(H1260,30)&lt;=8,MOD(H1260,30)&gt;2.5),1,0)*VLOOKUP(D1260,'报价表-配送'!$B$16:$I$21,6,0)+IF(AND(MOD(H1260,30)&lt;=2.5,MOD(H1260,30)&gt;=1.5),1,0)*VLOOKUP(D1260,'报价表-配送'!$B$16:$I$21,5,0)</f>
        <v>0</v>
      </c>
      <c r="M1260" s="39">
        <f>IF(AND(MOD(H1260,30)&lt;1.5,MOD(H1260,30)&gt;=0.5),H1260,0)*VLOOKUP(D1260,'报价表-配送'!$B$16:$I$21,4,0)*1000+IF(AND(MOD(H1260,30)&lt;0.5,MOD(H1260,30)&gt;=0.02),H1260,0)*VLOOKUP(D1260,'报价表-配送'!$B$16:$I$21,3,0)*1000+IF(AND(MOD(H1260,30)&lt;0.02),H1260,0)*VLOOKUP(D1260,'报价表-配送'!$B$16:$I$21,2,0)*1000</f>
        <v>0</v>
      </c>
      <c r="N1260" s="38">
        <f t="shared" si="19"/>
        <v>0</v>
      </c>
    </row>
    <row r="1261" spans="1:14" x14ac:dyDescent="0.25">
      <c r="A1261" t="s">
        <v>82</v>
      </c>
      <c r="B1261" s="43" t="s">
        <v>146</v>
      </c>
      <c r="C1261" s="62">
        <f>VLOOKUP(B1261,合并仓明细!$D$2:$F$74,3,0)</f>
        <v>95</v>
      </c>
      <c r="D1261" t="s">
        <v>393</v>
      </c>
      <c r="E1261" s="43" t="s">
        <v>321</v>
      </c>
      <c r="F1261" t="s">
        <v>66</v>
      </c>
      <c r="G1261" s="42">
        <v>84.2</v>
      </c>
      <c r="H1261">
        <v>8.4199999999999997E-2</v>
      </c>
      <c r="I1261" s="38"/>
      <c r="J1261" s="38"/>
      <c r="K1261" s="38"/>
      <c r="L1261" s="37">
        <f>IF(H1261&gt;30,QUOTIENT(H1261,30)*VLOOKUP(D1261,'报价表-配送'!$B$16:$I$21,8,0),0)+IF(AND(MOD(H1261,30)&gt;18,MOD(H1261,30)&lt;=30),1,0)*VLOOKUP(D1261,'报价表-配送'!$B$16:$I$21,8,0)+IF(AND(MOD(H1261,30)&gt;8,MOD(H1261,30)&lt;=18),1*VLOOKUP(D1261,'报价表-配送'!$B$16:$I$21,7,0),0)+IF(AND(MOD(H1261,30)&lt;=8,MOD(H1261,30)&gt;2.5),1,0)*VLOOKUP(D1261,'报价表-配送'!$B$16:$I$21,6,0)+IF(AND(MOD(H1261,30)&lt;=2.5,MOD(H1261,30)&gt;=1.5),1,0)*VLOOKUP(D1261,'报价表-配送'!$B$16:$I$21,5,0)</f>
        <v>0</v>
      </c>
      <c r="M1261" s="39">
        <f>IF(AND(MOD(H1261,30)&lt;1.5,MOD(H1261,30)&gt;=0.5),H1261,0)*VLOOKUP(D1261,'报价表-配送'!$B$16:$I$21,4,0)*1000+IF(AND(MOD(H1261,30)&lt;0.5,MOD(H1261,30)&gt;=0.02),H1261,0)*VLOOKUP(D1261,'报价表-配送'!$B$16:$I$21,3,0)*1000+IF(AND(MOD(H1261,30)&lt;0.02),H1261,0)*VLOOKUP(D1261,'报价表-配送'!$B$16:$I$21,2,0)*1000</f>
        <v>0</v>
      </c>
      <c r="N1261" s="38">
        <f t="shared" si="19"/>
        <v>0</v>
      </c>
    </row>
    <row r="1262" spans="1:14" x14ac:dyDescent="0.25">
      <c r="A1262" t="s">
        <v>82</v>
      </c>
      <c r="B1262" s="43" t="s">
        <v>146</v>
      </c>
      <c r="C1262" s="62">
        <f>VLOOKUP(B1262,合并仓明细!$D$2:$F$74,3,0)</f>
        <v>95</v>
      </c>
      <c r="D1262" t="s">
        <v>393</v>
      </c>
      <c r="E1262" s="43" t="s">
        <v>330</v>
      </c>
      <c r="F1262" t="s">
        <v>66</v>
      </c>
      <c r="G1262" s="42">
        <v>379.29999999999995</v>
      </c>
      <c r="H1262">
        <v>0.37929999999999997</v>
      </c>
      <c r="K1262" s="1"/>
      <c r="L1262" s="37">
        <f>IF(H1262&gt;30,QUOTIENT(H1262,30)*VLOOKUP(D1262,'报价表-配送'!$B$16:$I$21,8,0),0)+IF(AND(MOD(H1262,30)&gt;18,MOD(H1262,30)&lt;=30),1,0)*VLOOKUP(D1262,'报价表-配送'!$B$16:$I$21,8,0)+IF(AND(MOD(H1262,30)&gt;8,MOD(H1262,30)&lt;=18),1*VLOOKUP(D1262,'报价表-配送'!$B$16:$I$21,7,0),0)+IF(AND(MOD(H1262,30)&lt;=8,MOD(H1262,30)&gt;2.5),1,0)*VLOOKUP(D1262,'报价表-配送'!$B$16:$I$21,6,0)+IF(AND(MOD(H1262,30)&lt;=2.5,MOD(H1262,30)&gt;=1.5),1,0)*VLOOKUP(D1262,'报价表-配送'!$B$16:$I$21,5,0)</f>
        <v>0</v>
      </c>
      <c r="M1262" s="39">
        <f>IF(AND(MOD(H1262,30)&lt;1.5,MOD(H1262,30)&gt;=0.5),H1262,0)*VLOOKUP(D1262,'报价表-配送'!$B$16:$I$21,4,0)*1000+IF(AND(MOD(H1262,30)&lt;0.5,MOD(H1262,30)&gt;=0.02),H1262,0)*VLOOKUP(D1262,'报价表-配送'!$B$16:$I$21,3,0)*1000+IF(AND(MOD(H1262,30)&lt;0.02),H1262,0)*VLOOKUP(D1262,'报价表-配送'!$B$16:$I$21,2,0)*1000</f>
        <v>0</v>
      </c>
      <c r="N1262" s="38">
        <f t="shared" si="19"/>
        <v>0</v>
      </c>
    </row>
    <row r="1263" spans="1:14" x14ac:dyDescent="0.25">
      <c r="A1263" t="s">
        <v>82</v>
      </c>
      <c r="B1263" s="43" t="s">
        <v>146</v>
      </c>
      <c r="C1263" s="62">
        <f>VLOOKUP(B1263,合并仓明细!$D$2:$F$74,3,0)</f>
        <v>95</v>
      </c>
      <c r="D1263" t="s">
        <v>393</v>
      </c>
      <c r="E1263" s="43" t="s">
        <v>303</v>
      </c>
      <c r="F1263" t="s">
        <v>66</v>
      </c>
      <c r="G1263" s="42">
        <v>40.5</v>
      </c>
      <c r="H1263">
        <v>4.0500000000000001E-2</v>
      </c>
      <c r="K1263" s="1"/>
      <c r="L1263" s="37">
        <f>IF(H1263&gt;30,QUOTIENT(H1263,30)*VLOOKUP(D1263,'报价表-配送'!$B$16:$I$21,8,0),0)+IF(AND(MOD(H1263,30)&gt;18,MOD(H1263,30)&lt;=30),1,0)*VLOOKUP(D1263,'报价表-配送'!$B$16:$I$21,8,0)+IF(AND(MOD(H1263,30)&gt;8,MOD(H1263,30)&lt;=18),1*VLOOKUP(D1263,'报价表-配送'!$B$16:$I$21,7,0),0)+IF(AND(MOD(H1263,30)&lt;=8,MOD(H1263,30)&gt;2.5),1,0)*VLOOKUP(D1263,'报价表-配送'!$B$16:$I$21,6,0)+IF(AND(MOD(H1263,30)&lt;=2.5,MOD(H1263,30)&gt;=1.5),1,0)*VLOOKUP(D1263,'报价表-配送'!$B$16:$I$21,5,0)</f>
        <v>0</v>
      </c>
      <c r="M1263" s="39">
        <f>IF(AND(MOD(H1263,30)&lt;1.5,MOD(H1263,30)&gt;=0.5),H1263,0)*VLOOKUP(D1263,'报价表-配送'!$B$16:$I$21,4,0)*1000+IF(AND(MOD(H1263,30)&lt;0.5,MOD(H1263,30)&gt;=0.02),H1263,0)*VLOOKUP(D1263,'报价表-配送'!$B$16:$I$21,3,0)*1000+IF(AND(MOD(H1263,30)&lt;0.02),H1263,0)*VLOOKUP(D1263,'报价表-配送'!$B$16:$I$21,2,0)*1000</f>
        <v>0</v>
      </c>
      <c r="N1263" s="38">
        <f t="shared" si="19"/>
        <v>0</v>
      </c>
    </row>
    <row r="1264" spans="1:14" x14ac:dyDescent="0.25">
      <c r="A1264" t="s">
        <v>82</v>
      </c>
      <c r="B1264" s="43" t="s">
        <v>146</v>
      </c>
      <c r="C1264" s="62">
        <f>VLOOKUP(B1264,合并仓明细!$D$2:$F$74,3,0)</f>
        <v>95</v>
      </c>
      <c r="D1264" t="s">
        <v>393</v>
      </c>
      <c r="E1264" s="43" t="s">
        <v>253</v>
      </c>
      <c r="F1264" t="s">
        <v>68</v>
      </c>
      <c r="G1264" s="42">
        <v>1420.93</v>
      </c>
      <c r="H1264">
        <v>1.4696600000000002</v>
      </c>
      <c r="I1264" s="46">
        <f>ROUNDUP(H1264/30,0)*VLOOKUP(D1264,'报价表-配送'!$B$16:$I$21,8,0)</f>
        <v>0</v>
      </c>
      <c r="J1264" s="61"/>
      <c r="K1264" s="61"/>
      <c r="L1264" s="60"/>
      <c r="M1264" s="60"/>
      <c r="N1264" s="38">
        <f t="shared" si="19"/>
        <v>0</v>
      </c>
    </row>
    <row r="1265" spans="1:14" x14ac:dyDescent="0.25">
      <c r="A1265" t="s">
        <v>82</v>
      </c>
      <c r="B1265" s="43" t="s">
        <v>146</v>
      </c>
      <c r="C1265" s="62">
        <f>VLOOKUP(B1265,合并仓明细!$D$2:$F$74,3,0)</f>
        <v>95</v>
      </c>
      <c r="D1265" t="s">
        <v>393</v>
      </c>
      <c r="E1265" s="43" t="s">
        <v>253</v>
      </c>
      <c r="F1265" t="s">
        <v>66</v>
      </c>
      <c r="G1265" s="42">
        <v>48.73</v>
      </c>
      <c r="H1265"/>
      <c r="K1265" s="1"/>
      <c r="L1265" s="33"/>
      <c r="M1265" s="1"/>
      <c r="N1265" s="38">
        <f t="shared" si="19"/>
        <v>0</v>
      </c>
    </row>
    <row r="1266" spans="1:14" x14ac:dyDescent="0.25">
      <c r="A1266" t="s">
        <v>82</v>
      </c>
      <c r="B1266" s="43" t="s">
        <v>146</v>
      </c>
      <c r="C1266" s="62">
        <f>VLOOKUP(B1266,合并仓明细!$D$2:$F$74,3,0)</f>
        <v>95</v>
      </c>
      <c r="D1266" t="s">
        <v>393</v>
      </c>
      <c r="E1266" s="43" t="s">
        <v>356</v>
      </c>
      <c r="F1266" t="s">
        <v>67</v>
      </c>
      <c r="G1266" s="42">
        <v>6729.45</v>
      </c>
      <c r="H1266">
        <v>6.7294499999999999</v>
      </c>
      <c r="I1266" s="38">
        <f>IF(H1266&gt;30,QUOTIENT(H1266,30)*VLOOKUP(D1266,'报价表-配送'!$B$16:$I$21,8,0),0)+IF(AND(MOD(H1266,30)&gt;18,MOD(H1266,30)&lt;=30),1,0)*VLOOKUP(D1266,'报价表-配送'!$B$16:$I$21,8,0)</f>
        <v>0</v>
      </c>
      <c r="J1266" s="38">
        <f>IF(AND(MOD(H1266,30)&gt;8,MOD(H1266,30)&lt;=18),1*VLOOKUP(D1266,'报价表-配送'!$B$16:$I$21,7,0),0)</f>
        <v>0</v>
      </c>
      <c r="K1266" s="38">
        <f>IF(AND(MOD(H1266,30)&lt;=8,MOD(H1266,30)&gt;0),1,0)*VLOOKUP(D1266,'报价表-配送'!$B$16:$I$21,6,0)</f>
        <v>0</v>
      </c>
      <c r="L1266" s="33"/>
      <c r="M1266" s="1"/>
      <c r="N1266" s="38">
        <f t="shared" si="19"/>
        <v>0</v>
      </c>
    </row>
    <row r="1267" spans="1:14" x14ac:dyDescent="0.25">
      <c r="A1267" t="s">
        <v>82</v>
      </c>
      <c r="B1267" s="43" t="s">
        <v>146</v>
      </c>
      <c r="C1267" s="62">
        <f>VLOOKUP(B1267,合并仓明细!$D$2:$F$74,3,0)</f>
        <v>95</v>
      </c>
      <c r="D1267" t="s">
        <v>393</v>
      </c>
      <c r="E1267" s="43" t="s">
        <v>255</v>
      </c>
      <c r="F1267" t="s">
        <v>66</v>
      </c>
      <c r="G1267" s="42">
        <v>181.22</v>
      </c>
      <c r="H1267">
        <v>0.18121999999999999</v>
      </c>
      <c r="K1267" s="1"/>
      <c r="L1267" s="37">
        <f>IF(H1267&gt;30,QUOTIENT(H1267,30)*VLOOKUP(D1267,'报价表-配送'!$B$16:$I$21,8,0),0)+IF(AND(MOD(H1267,30)&gt;18,MOD(H1267,30)&lt;=30),1,0)*VLOOKUP(D1267,'报价表-配送'!$B$16:$I$21,8,0)+IF(AND(MOD(H1267,30)&gt;8,MOD(H1267,30)&lt;=18),1*VLOOKUP(D1267,'报价表-配送'!$B$16:$I$21,7,0),0)+IF(AND(MOD(H1267,30)&lt;=8,MOD(H1267,30)&gt;2.5),1,0)*VLOOKUP(D1267,'报价表-配送'!$B$16:$I$21,6,0)+IF(AND(MOD(H1267,30)&lt;=2.5,MOD(H1267,30)&gt;=1.5),1,0)*VLOOKUP(D1267,'报价表-配送'!$B$16:$I$21,5,0)</f>
        <v>0</v>
      </c>
      <c r="M1267" s="39">
        <f>IF(AND(MOD(H1267,30)&lt;1.5,MOD(H1267,30)&gt;=0.5),H1267,0)*VLOOKUP(D1267,'报价表-配送'!$B$16:$I$21,4,0)*1000+IF(AND(MOD(H1267,30)&lt;0.5,MOD(H1267,30)&gt;=0.02),H1267,0)*VLOOKUP(D1267,'报价表-配送'!$B$16:$I$21,3,0)*1000+IF(AND(MOD(H1267,30)&lt;0.02),H1267,0)*VLOOKUP(D1267,'报价表-配送'!$B$16:$I$21,2,0)*1000</f>
        <v>0</v>
      </c>
      <c r="N1267" s="38">
        <f t="shared" si="19"/>
        <v>0</v>
      </c>
    </row>
    <row r="1268" spans="1:14" x14ac:dyDescent="0.25">
      <c r="A1268" t="s">
        <v>82</v>
      </c>
      <c r="B1268" s="43" t="s">
        <v>147</v>
      </c>
      <c r="C1268" s="62">
        <f>VLOOKUP(B1268,合并仓明细!$D$2:$F$74,3,0)</f>
        <v>272</v>
      </c>
      <c r="D1268" s="44" t="s">
        <v>414</v>
      </c>
      <c r="E1268" s="43" t="s">
        <v>266</v>
      </c>
      <c r="F1268" t="s">
        <v>66</v>
      </c>
      <c r="G1268" s="42">
        <v>522.12</v>
      </c>
      <c r="H1268">
        <v>0.52212000000000003</v>
      </c>
      <c r="K1268" s="1"/>
      <c r="L1268" s="37">
        <f>IF(H1268&gt;30,QUOTIENT(H1268,30)*VLOOKUP(D1268,'报价表-配送'!$B$16:$I$21,8,0),0)+IF(AND(MOD(H1268,30)&gt;18,MOD(H1268,30)&lt;=30),1,0)*VLOOKUP(D1268,'报价表-配送'!$B$16:$I$21,8,0)+IF(AND(MOD(H1268,30)&gt;8,MOD(H1268,30)&lt;=18),1*VLOOKUP(D1268,'报价表-配送'!$B$16:$I$21,7,0),0)+IF(AND(MOD(H1268,30)&lt;=8,MOD(H1268,30)&gt;2.5),1,0)*VLOOKUP(D1268,'报价表-配送'!$B$16:$I$21,6,0)+IF(AND(MOD(H1268,30)&lt;=2.5,MOD(H1268,30)&gt;=1.5),1,0)*VLOOKUP(D1268,'报价表-配送'!$B$16:$I$21,5,0)</f>
        <v>0</v>
      </c>
      <c r="M1268" s="39">
        <f>IF(AND(MOD(H1268,30)&lt;1.5,MOD(H1268,30)&gt;=0.5),H1268,0)*VLOOKUP(D1268,'报价表-配送'!$B$16:$I$21,4,0)*1000+IF(AND(MOD(H1268,30)&lt;0.5,MOD(H1268,30)&gt;=0.02),H1268,0)*VLOOKUP(D1268,'报价表-配送'!$B$16:$I$21,3,0)*1000+IF(AND(MOD(H1268,30)&lt;0.02),H1268,0)*VLOOKUP(D1268,'报价表-配送'!$B$16:$I$21,2,0)*1000</f>
        <v>0</v>
      </c>
      <c r="N1268" s="38">
        <f t="shared" si="19"/>
        <v>0</v>
      </c>
    </row>
    <row r="1269" spans="1:14" x14ac:dyDescent="0.25">
      <c r="A1269" t="s">
        <v>82</v>
      </c>
      <c r="B1269" s="43" t="s">
        <v>147</v>
      </c>
      <c r="C1269" s="62">
        <f>VLOOKUP(B1269,合并仓明细!$D$2:$F$74,3,0)</f>
        <v>272</v>
      </c>
      <c r="D1269" s="44" t="s">
        <v>414</v>
      </c>
      <c r="E1269" s="43" t="s">
        <v>309</v>
      </c>
      <c r="F1269" t="s">
        <v>66</v>
      </c>
      <c r="G1269" s="42">
        <v>78.819999999999993</v>
      </c>
      <c r="H1269">
        <v>7.8819999999999987E-2</v>
      </c>
      <c r="I1269" s="46"/>
      <c r="J1269" s="61"/>
      <c r="K1269" s="61"/>
      <c r="L1269" s="37">
        <f>IF(H1269&gt;30,QUOTIENT(H1269,30)*VLOOKUP(D1269,'报价表-配送'!$B$16:$I$21,8,0),0)+IF(AND(MOD(H1269,30)&gt;18,MOD(H1269,30)&lt;=30),1,0)*VLOOKUP(D1269,'报价表-配送'!$B$16:$I$21,8,0)+IF(AND(MOD(H1269,30)&gt;8,MOD(H1269,30)&lt;=18),1*VLOOKUP(D1269,'报价表-配送'!$B$16:$I$21,7,0),0)+IF(AND(MOD(H1269,30)&lt;=8,MOD(H1269,30)&gt;2.5),1,0)*VLOOKUP(D1269,'报价表-配送'!$B$16:$I$21,6,0)+IF(AND(MOD(H1269,30)&lt;=2.5,MOD(H1269,30)&gt;=1.5),1,0)*VLOOKUP(D1269,'报价表-配送'!$B$16:$I$21,5,0)</f>
        <v>0</v>
      </c>
      <c r="M1269" s="39">
        <f>IF(AND(MOD(H1269,30)&lt;1.5,MOD(H1269,30)&gt;=0.5),H1269,0)*VLOOKUP(D1269,'报价表-配送'!$B$16:$I$21,4,0)*1000+IF(AND(MOD(H1269,30)&lt;0.5,MOD(H1269,30)&gt;=0.02),H1269,0)*VLOOKUP(D1269,'报价表-配送'!$B$16:$I$21,3,0)*1000+IF(AND(MOD(H1269,30)&lt;0.02),H1269,0)*VLOOKUP(D1269,'报价表-配送'!$B$16:$I$21,2,0)*1000</f>
        <v>0</v>
      </c>
      <c r="N1269" s="38">
        <f t="shared" si="19"/>
        <v>0</v>
      </c>
    </row>
    <row r="1270" spans="1:14" x14ac:dyDescent="0.25">
      <c r="A1270" t="s">
        <v>82</v>
      </c>
      <c r="B1270" s="43" t="s">
        <v>147</v>
      </c>
      <c r="C1270" s="62">
        <f>VLOOKUP(B1270,合并仓明细!$D$2:$F$74,3,0)</f>
        <v>272</v>
      </c>
      <c r="D1270" s="44" t="s">
        <v>414</v>
      </c>
      <c r="E1270" s="43" t="s">
        <v>258</v>
      </c>
      <c r="F1270" t="s">
        <v>66</v>
      </c>
      <c r="G1270" s="42">
        <v>391.51</v>
      </c>
      <c r="H1270">
        <v>0.39150999999999997</v>
      </c>
      <c r="K1270" s="1"/>
      <c r="L1270" s="37">
        <f>IF(H1270&gt;30,QUOTIENT(H1270,30)*VLOOKUP(D1270,'报价表-配送'!$B$16:$I$21,8,0),0)+IF(AND(MOD(H1270,30)&gt;18,MOD(H1270,30)&lt;=30),1,0)*VLOOKUP(D1270,'报价表-配送'!$B$16:$I$21,8,0)+IF(AND(MOD(H1270,30)&gt;8,MOD(H1270,30)&lt;=18),1*VLOOKUP(D1270,'报价表-配送'!$B$16:$I$21,7,0),0)+IF(AND(MOD(H1270,30)&lt;=8,MOD(H1270,30)&gt;2.5),1,0)*VLOOKUP(D1270,'报价表-配送'!$B$16:$I$21,6,0)+IF(AND(MOD(H1270,30)&lt;=2.5,MOD(H1270,30)&gt;=1.5),1,0)*VLOOKUP(D1270,'报价表-配送'!$B$16:$I$21,5,0)</f>
        <v>0</v>
      </c>
      <c r="M1270" s="39">
        <f>IF(AND(MOD(H1270,30)&lt;1.5,MOD(H1270,30)&gt;=0.5),H1270,0)*VLOOKUP(D1270,'报价表-配送'!$B$16:$I$21,4,0)*1000+IF(AND(MOD(H1270,30)&lt;0.5,MOD(H1270,30)&gt;=0.02),H1270,0)*VLOOKUP(D1270,'报价表-配送'!$B$16:$I$21,3,0)*1000+IF(AND(MOD(H1270,30)&lt;0.02),H1270,0)*VLOOKUP(D1270,'报价表-配送'!$B$16:$I$21,2,0)*1000</f>
        <v>0</v>
      </c>
      <c r="N1270" s="38">
        <f t="shared" si="19"/>
        <v>0</v>
      </c>
    </row>
    <row r="1271" spans="1:14" x14ac:dyDescent="0.25">
      <c r="A1271" t="s">
        <v>82</v>
      </c>
      <c r="B1271" s="43" t="s">
        <v>147</v>
      </c>
      <c r="C1271" s="62">
        <f>VLOOKUP(B1271,合并仓明细!$D$2:$F$74,3,0)</f>
        <v>272</v>
      </c>
      <c r="D1271" s="44" t="s">
        <v>414</v>
      </c>
      <c r="E1271" s="43" t="s">
        <v>336</v>
      </c>
      <c r="F1271" t="s">
        <v>68</v>
      </c>
      <c r="G1271" s="42">
        <v>1995.04</v>
      </c>
      <c r="H1271">
        <v>1.9950399999999999</v>
      </c>
      <c r="I1271" s="46">
        <f>ROUNDUP(H1271/30,0)*VLOOKUP(D1271,'报价表-配送'!$B$16:$I$21,8,0)</f>
        <v>0</v>
      </c>
      <c r="K1271" s="1"/>
      <c r="L1271" s="33"/>
      <c r="M1271" s="1"/>
      <c r="N1271" s="38">
        <f t="shared" si="19"/>
        <v>0</v>
      </c>
    </row>
    <row r="1272" spans="1:14" x14ac:dyDescent="0.25">
      <c r="A1272" t="s">
        <v>82</v>
      </c>
      <c r="B1272" s="43" t="s">
        <v>147</v>
      </c>
      <c r="C1272" s="62">
        <f>VLOOKUP(B1272,合并仓明细!$D$2:$F$74,3,0)</f>
        <v>272</v>
      </c>
      <c r="D1272" s="44" t="s">
        <v>414</v>
      </c>
      <c r="E1272" s="43" t="s">
        <v>275</v>
      </c>
      <c r="F1272" t="s">
        <v>66</v>
      </c>
      <c r="G1272" s="42">
        <v>381.6</v>
      </c>
      <c r="H1272">
        <v>0.38160000000000005</v>
      </c>
      <c r="I1272" s="46"/>
      <c r="J1272" s="61"/>
      <c r="K1272" s="61"/>
      <c r="L1272" s="37">
        <f>IF(H1272&gt;30,QUOTIENT(H1272,30)*VLOOKUP(D1272,'报价表-配送'!$B$16:$I$21,8,0),0)+IF(AND(MOD(H1272,30)&gt;18,MOD(H1272,30)&lt;=30),1,0)*VLOOKUP(D1272,'报价表-配送'!$B$16:$I$21,8,0)+IF(AND(MOD(H1272,30)&gt;8,MOD(H1272,30)&lt;=18),1*VLOOKUP(D1272,'报价表-配送'!$B$16:$I$21,7,0),0)+IF(AND(MOD(H1272,30)&lt;=8,MOD(H1272,30)&gt;2.5),1,0)*VLOOKUP(D1272,'报价表-配送'!$B$16:$I$21,6,0)+IF(AND(MOD(H1272,30)&lt;=2.5,MOD(H1272,30)&gt;=1.5),1,0)*VLOOKUP(D1272,'报价表-配送'!$B$16:$I$21,5,0)</f>
        <v>0</v>
      </c>
      <c r="M1272" s="39">
        <f>IF(AND(MOD(H1272,30)&lt;1.5,MOD(H1272,30)&gt;=0.5),H1272,0)*VLOOKUP(D1272,'报价表-配送'!$B$16:$I$21,4,0)*1000+IF(AND(MOD(H1272,30)&lt;0.5,MOD(H1272,30)&gt;=0.02),H1272,0)*VLOOKUP(D1272,'报价表-配送'!$B$16:$I$21,3,0)*1000+IF(AND(MOD(H1272,30)&lt;0.02),H1272,0)*VLOOKUP(D1272,'报价表-配送'!$B$16:$I$21,2,0)*1000</f>
        <v>0</v>
      </c>
      <c r="N1272" s="38">
        <f t="shared" si="19"/>
        <v>0</v>
      </c>
    </row>
    <row r="1273" spans="1:14" x14ac:dyDescent="0.25">
      <c r="A1273" t="s">
        <v>82</v>
      </c>
      <c r="B1273" s="43" t="s">
        <v>147</v>
      </c>
      <c r="C1273" s="62">
        <f>VLOOKUP(B1273,合并仓明细!$D$2:$F$74,3,0)</f>
        <v>272</v>
      </c>
      <c r="D1273" s="44" t="s">
        <v>414</v>
      </c>
      <c r="E1273" s="43" t="s">
        <v>323</v>
      </c>
      <c r="F1273" t="s">
        <v>68</v>
      </c>
      <c r="G1273" s="42">
        <v>2537.52</v>
      </c>
      <c r="H1273">
        <v>2.7174999999999998</v>
      </c>
      <c r="I1273" s="46">
        <f>ROUNDUP(H1273/30,0)*VLOOKUP(D1273,'报价表-配送'!$B$16:$I$21,8,0)</f>
        <v>0</v>
      </c>
      <c r="K1273" s="1"/>
      <c r="L1273" s="33"/>
      <c r="M1273" s="1"/>
      <c r="N1273" s="38">
        <f t="shared" si="19"/>
        <v>0</v>
      </c>
    </row>
    <row r="1274" spans="1:14" x14ac:dyDescent="0.25">
      <c r="A1274" t="s">
        <v>82</v>
      </c>
      <c r="B1274" s="43" t="s">
        <v>147</v>
      </c>
      <c r="C1274" s="62">
        <f>VLOOKUP(B1274,合并仓明细!$D$2:$F$74,3,0)</f>
        <v>272</v>
      </c>
      <c r="D1274" s="44" t="s">
        <v>414</v>
      </c>
      <c r="E1274" s="43" t="s">
        <v>323</v>
      </c>
      <c r="F1274" t="s">
        <v>66</v>
      </c>
      <c r="G1274" s="42">
        <v>179.98</v>
      </c>
      <c r="H1274"/>
      <c r="K1274" s="1"/>
      <c r="L1274" s="33"/>
      <c r="M1274" s="1"/>
      <c r="N1274" s="38">
        <f t="shared" si="19"/>
        <v>0</v>
      </c>
    </row>
    <row r="1275" spans="1:14" x14ac:dyDescent="0.25">
      <c r="A1275" t="s">
        <v>82</v>
      </c>
      <c r="B1275" s="43" t="s">
        <v>147</v>
      </c>
      <c r="C1275" s="62">
        <f>VLOOKUP(B1275,合并仓明细!$D$2:$F$74,3,0)</f>
        <v>272</v>
      </c>
      <c r="D1275" s="44" t="s">
        <v>414</v>
      </c>
      <c r="E1275" s="43" t="s">
        <v>288</v>
      </c>
      <c r="F1275" t="s">
        <v>66</v>
      </c>
      <c r="G1275" s="42">
        <v>103.51</v>
      </c>
      <c r="H1275">
        <v>0.10351</v>
      </c>
      <c r="I1275" s="38"/>
      <c r="J1275" s="38"/>
      <c r="K1275" s="38"/>
      <c r="L1275" s="37">
        <f>IF(H1275&gt;30,QUOTIENT(H1275,30)*VLOOKUP(D1275,'报价表-配送'!$B$16:$I$21,8,0),0)+IF(AND(MOD(H1275,30)&gt;18,MOD(H1275,30)&lt;=30),1,0)*VLOOKUP(D1275,'报价表-配送'!$B$16:$I$21,8,0)+IF(AND(MOD(H1275,30)&gt;8,MOD(H1275,30)&lt;=18),1*VLOOKUP(D1275,'报价表-配送'!$B$16:$I$21,7,0),0)+IF(AND(MOD(H1275,30)&lt;=8,MOD(H1275,30)&gt;2.5),1,0)*VLOOKUP(D1275,'报价表-配送'!$B$16:$I$21,6,0)+IF(AND(MOD(H1275,30)&lt;=2.5,MOD(H1275,30)&gt;=1.5),1,0)*VLOOKUP(D1275,'报价表-配送'!$B$16:$I$21,5,0)</f>
        <v>0</v>
      </c>
      <c r="M1275" s="39">
        <f>IF(AND(MOD(H1275,30)&lt;1.5,MOD(H1275,30)&gt;=0.5),H1275,0)*VLOOKUP(D1275,'报价表-配送'!$B$16:$I$21,4,0)*1000+IF(AND(MOD(H1275,30)&lt;0.5,MOD(H1275,30)&gt;=0.02),H1275,0)*VLOOKUP(D1275,'报价表-配送'!$B$16:$I$21,3,0)*1000+IF(AND(MOD(H1275,30)&lt;0.02),H1275,0)*VLOOKUP(D1275,'报价表-配送'!$B$16:$I$21,2,0)*1000</f>
        <v>0</v>
      </c>
      <c r="N1275" s="38">
        <f t="shared" si="19"/>
        <v>0</v>
      </c>
    </row>
    <row r="1276" spans="1:14" x14ac:dyDescent="0.25">
      <c r="A1276" t="s">
        <v>82</v>
      </c>
      <c r="B1276" s="45" t="s">
        <v>147</v>
      </c>
      <c r="C1276" s="62">
        <f>VLOOKUP(B1276,合并仓明细!$D$2:$F$74,3,0)</f>
        <v>272</v>
      </c>
      <c r="D1276" s="44" t="s">
        <v>414</v>
      </c>
      <c r="E1276" s="43" t="s">
        <v>289</v>
      </c>
      <c r="F1276" t="s">
        <v>67</v>
      </c>
      <c r="G1276" s="42">
        <v>21134.14</v>
      </c>
      <c r="H1276">
        <v>21.134139999999999</v>
      </c>
      <c r="I1276" s="38">
        <f>IF(H1276&gt;30,QUOTIENT(H1276,30)*VLOOKUP(D1276,'报价表-配送'!$B$16:$I$21,8,0),0)+IF(AND(MOD(H1276,30)&gt;18,MOD(H1276,30)&lt;=30),1,0)*VLOOKUP(D1276,'报价表-配送'!$B$16:$I$21,8,0)</f>
        <v>0</v>
      </c>
      <c r="J1276" s="38">
        <f>IF(AND(MOD(H1276,30)&gt;8,MOD(H1276,30)&lt;=18),1*VLOOKUP(D1276,'报价表-配送'!$B$16:$I$21,7,0),0)</f>
        <v>0</v>
      </c>
      <c r="K1276" s="38">
        <f>IF(AND(MOD(H1276,30)&lt;=8,MOD(H1276,30)&gt;0),1,0)*VLOOKUP(D1276,'报价表-配送'!$B$16:$I$21,6,0)</f>
        <v>0</v>
      </c>
      <c r="L1276" s="33"/>
      <c r="M1276" s="1"/>
      <c r="N1276" s="38">
        <f t="shared" si="19"/>
        <v>0</v>
      </c>
    </row>
    <row r="1277" spans="1:14" x14ac:dyDescent="0.25">
      <c r="A1277" t="s">
        <v>82</v>
      </c>
      <c r="B1277" s="44" t="s">
        <v>147</v>
      </c>
      <c r="C1277" s="62">
        <f>VLOOKUP(B1277,合并仓明细!$D$2:$F$74,3,0)</f>
        <v>272</v>
      </c>
      <c r="D1277" s="44" t="s">
        <v>414</v>
      </c>
      <c r="E1277" s="43" t="s">
        <v>316</v>
      </c>
      <c r="F1277" t="s">
        <v>66</v>
      </c>
      <c r="G1277" s="42">
        <v>46</v>
      </c>
      <c r="H1277">
        <v>4.5999999999999999E-2</v>
      </c>
      <c r="K1277" s="1"/>
      <c r="L1277" s="37">
        <f>IF(H1277&gt;30,QUOTIENT(H1277,30)*VLOOKUP(D1277,'报价表-配送'!$B$16:$I$21,8,0),0)+IF(AND(MOD(H1277,30)&gt;18,MOD(H1277,30)&lt;=30),1,0)*VLOOKUP(D1277,'报价表-配送'!$B$16:$I$21,8,0)+IF(AND(MOD(H1277,30)&gt;8,MOD(H1277,30)&lt;=18),1*VLOOKUP(D1277,'报价表-配送'!$B$16:$I$21,7,0),0)+IF(AND(MOD(H1277,30)&lt;=8,MOD(H1277,30)&gt;2.5),1,0)*VLOOKUP(D1277,'报价表-配送'!$B$16:$I$21,6,0)+IF(AND(MOD(H1277,30)&lt;=2.5,MOD(H1277,30)&gt;=1.5),1,0)*VLOOKUP(D1277,'报价表-配送'!$B$16:$I$21,5,0)</f>
        <v>0</v>
      </c>
      <c r="M1277" s="39">
        <f>IF(AND(MOD(H1277,30)&lt;1.5,MOD(H1277,30)&gt;=0.5),H1277,0)*VLOOKUP(D1277,'报价表-配送'!$B$16:$I$21,4,0)*1000+IF(AND(MOD(H1277,30)&lt;0.5,MOD(H1277,30)&gt;=0.02),H1277,0)*VLOOKUP(D1277,'报价表-配送'!$B$16:$I$21,3,0)*1000+IF(AND(MOD(H1277,30)&lt;0.02),H1277,0)*VLOOKUP(D1277,'报价表-配送'!$B$16:$I$21,2,0)*1000</f>
        <v>0</v>
      </c>
      <c r="N1277" s="38">
        <f t="shared" si="19"/>
        <v>0</v>
      </c>
    </row>
    <row r="1278" spans="1:14" x14ac:dyDescent="0.25">
      <c r="A1278" t="s">
        <v>82</v>
      </c>
      <c r="B1278" s="43" t="s">
        <v>147</v>
      </c>
      <c r="C1278" s="62">
        <f>VLOOKUP(B1278,合并仓明细!$D$2:$F$74,3,0)</f>
        <v>272</v>
      </c>
      <c r="D1278" s="44" t="s">
        <v>414</v>
      </c>
      <c r="E1278" s="43" t="s">
        <v>292</v>
      </c>
      <c r="F1278" t="s">
        <v>66</v>
      </c>
      <c r="G1278" s="42">
        <v>81.099999999999994</v>
      </c>
      <c r="H1278">
        <v>8.1099999999999992E-2</v>
      </c>
      <c r="K1278" s="1"/>
      <c r="L1278" s="37">
        <f>IF(H1278&gt;30,QUOTIENT(H1278,30)*VLOOKUP(D1278,'报价表-配送'!$B$16:$I$21,8,0),0)+IF(AND(MOD(H1278,30)&gt;18,MOD(H1278,30)&lt;=30),1,0)*VLOOKUP(D1278,'报价表-配送'!$B$16:$I$21,8,0)+IF(AND(MOD(H1278,30)&gt;8,MOD(H1278,30)&lt;=18),1*VLOOKUP(D1278,'报价表-配送'!$B$16:$I$21,7,0),0)+IF(AND(MOD(H1278,30)&lt;=8,MOD(H1278,30)&gt;2.5),1,0)*VLOOKUP(D1278,'报价表-配送'!$B$16:$I$21,6,0)+IF(AND(MOD(H1278,30)&lt;=2.5,MOD(H1278,30)&gt;=1.5),1,0)*VLOOKUP(D1278,'报价表-配送'!$B$16:$I$21,5,0)</f>
        <v>0</v>
      </c>
      <c r="M1278" s="39">
        <f>IF(AND(MOD(H1278,30)&lt;1.5,MOD(H1278,30)&gt;=0.5),H1278,0)*VLOOKUP(D1278,'报价表-配送'!$B$16:$I$21,4,0)*1000+IF(AND(MOD(H1278,30)&lt;0.5,MOD(H1278,30)&gt;=0.02),H1278,0)*VLOOKUP(D1278,'报价表-配送'!$B$16:$I$21,3,0)*1000+IF(AND(MOD(H1278,30)&lt;0.02),H1278,0)*VLOOKUP(D1278,'报价表-配送'!$B$16:$I$21,2,0)*1000</f>
        <v>0</v>
      </c>
      <c r="N1278" s="38">
        <f t="shared" si="19"/>
        <v>0</v>
      </c>
    </row>
    <row r="1279" spans="1:14" x14ac:dyDescent="0.25">
      <c r="A1279" t="s">
        <v>82</v>
      </c>
      <c r="B1279" s="43" t="s">
        <v>147</v>
      </c>
      <c r="C1279" s="62">
        <f>VLOOKUP(B1279,合并仓明细!$D$2:$F$74,3,0)</f>
        <v>272</v>
      </c>
      <c r="D1279" s="44" t="s">
        <v>414</v>
      </c>
      <c r="E1279" s="43" t="s">
        <v>301</v>
      </c>
      <c r="F1279" t="s">
        <v>66</v>
      </c>
      <c r="G1279" s="42">
        <v>36</v>
      </c>
      <c r="H1279">
        <v>3.5999999999999997E-2</v>
      </c>
      <c r="K1279" s="1"/>
      <c r="L1279" s="37">
        <f>IF(H1279&gt;30,QUOTIENT(H1279,30)*VLOOKUP(D1279,'报价表-配送'!$B$16:$I$21,8,0),0)+IF(AND(MOD(H1279,30)&gt;18,MOD(H1279,30)&lt;=30),1,0)*VLOOKUP(D1279,'报价表-配送'!$B$16:$I$21,8,0)+IF(AND(MOD(H1279,30)&gt;8,MOD(H1279,30)&lt;=18),1*VLOOKUP(D1279,'报价表-配送'!$B$16:$I$21,7,0),0)+IF(AND(MOD(H1279,30)&lt;=8,MOD(H1279,30)&gt;2.5),1,0)*VLOOKUP(D1279,'报价表-配送'!$B$16:$I$21,6,0)+IF(AND(MOD(H1279,30)&lt;=2.5,MOD(H1279,30)&gt;=1.5),1,0)*VLOOKUP(D1279,'报价表-配送'!$B$16:$I$21,5,0)</f>
        <v>0</v>
      </c>
      <c r="M1279" s="39">
        <f>IF(AND(MOD(H1279,30)&lt;1.5,MOD(H1279,30)&gt;=0.5),H1279,0)*VLOOKUP(D1279,'报价表-配送'!$B$16:$I$21,4,0)*1000+IF(AND(MOD(H1279,30)&lt;0.5,MOD(H1279,30)&gt;=0.02),H1279,0)*VLOOKUP(D1279,'报价表-配送'!$B$16:$I$21,3,0)*1000+IF(AND(MOD(H1279,30)&lt;0.02),H1279,0)*VLOOKUP(D1279,'报价表-配送'!$B$16:$I$21,2,0)*1000</f>
        <v>0</v>
      </c>
      <c r="N1279" s="38">
        <f t="shared" si="19"/>
        <v>0</v>
      </c>
    </row>
    <row r="1280" spans="1:14" x14ac:dyDescent="0.25">
      <c r="A1280" t="s">
        <v>82</v>
      </c>
      <c r="B1280" s="43" t="s">
        <v>147</v>
      </c>
      <c r="C1280" s="62">
        <f>VLOOKUP(B1280,合并仓明细!$D$2:$F$74,3,0)</f>
        <v>272</v>
      </c>
      <c r="D1280" s="44" t="s">
        <v>414</v>
      </c>
      <c r="E1280" s="43" t="s">
        <v>321</v>
      </c>
      <c r="F1280" t="s">
        <v>66</v>
      </c>
      <c r="G1280" s="42">
        <v>114.4</v>
      </c>
      <c r="H1280">
        <v>0.1144</v>
      </c>
      <c r="K1280" s="1"/>
      <c r="L1280" s="37">
        <f>IF(H1280&gt;30,QUOTIENT(H1280,30)*VLOOKUP(D1280,'报价表-配送'!$B$16:$I$21,8,0),0)+IF(AND(MOD(H1280,30)&gt;18,MOD(H1280,30)&lt;=30),1,0)*VLOOKUP(D1280,'报价表-配送'!$B$16:$I$21,8,0)+IF(AND(MOD(H1280,30)&gt;8,MOD(H1280,30)&lt;=18),1*VLOOKUP(D1280,'报价表-配送'!$B$16:$I$21,7,0),0)+IF(AND(MOD(H1280,30)&lt;=8,MOD(H1280,30)&gt;2.5),1,0)*VLOOKUP(D1280,'报价表-配送'!$B$16:$I$21,6,0)+IF(AND(MOD(H1280,30)&lt;=2.5,MOD(H1280,30)&gt;=1.5),1,0)*VLOOKUP(D1280,'报价表-配送'!$B$16:$I$21,5,0)</f>
        <v>0</v>
      </c>
      <c r="M1280" s="39">
        <f>IF(AND(MOD(H1280,30)&lt;1.5,MOD(H1280,30)&gt;=0.5),H1280,0)*VLOOKUP(D1280,'报价表-配送'!$B$16:$I$21,4,0)*1000+IF(AND(MOD(H1280,30)&lt;0.5,MOD(H1280,30)&gt;=0.02),H1280,0)*VLOOKUP(D1280,'报价表-配送'!$B$16:$I$21,3,0)*1000+IF(AND(MOD(H1280,30)&lt;0.02),H1280,0)*VLOOKUP(D1280,'报价表-配送'!$B$16:$I$21,2,0)*1000</f>
        <v>0</v>
      </c>
      <c r="N1280" s="38">
        <f t="shared" si="19"/>
        <v>0</v>
      </c>
    </row>
    <row r="1281" spans="1:14" x14ac:dyDescent="0.25">
      <c r="A1281" t="s">
        <v>82</v>
      </c>
      <c r="B1281" s="43" t="s">
        <v>147</v>
      </c>
      <c r="C1281" s="62">
        <f>VLOOKUP(B1281,合并仓明细!$D$2:$F$74,3,0)</f>
        <v>272</v>
      </c>
      <c r="D1281" s="44" t="s">
        <v>414</v>
      </c>
      <c r="E1281" s="43" t="s">
        <v>304</v>
      </c>
      <c r="F1281" t="s">
        <v>66</v>
      </c>
      <c r="G1281" s="42">
        <v>110</v>
      </c>
      <c r="H1281">
        <v>0.11</v>
      </c>
      <c r="K1281" s="1"/>
      <c r="L1281" s="37">
        <f>IF(H1281&gt;30,QUOTIENT(H1281,30)*VLOOKUP(D1281,'报价表-配送'!$B$16:$I$21,8,0),0)+IF(AND(MOD(H1281,30)&gt;18,MOD(H1281,30)&lt;=30),1,0)*VLOOKUP(D1281,'报价表-配送'!$B$16:$I$21,8,0)+IF(AND(MOD(H1281,30)&gt;8,MOD(H1281,30)&lt;=18),1*VLOOKUP(D1281,'报价表-配送'!$B$16:$I$21,7,0),0)+IF(AND(MOD(H1281,30)&lt;=8,MOD(H1281,30)&gt;2.5),1,0)*VLOOKUP(D1281,'报价表-配送'!$B$16:$I$21,6,0)+IF(AND(MOD(H1281,30)&lt;=2.5,MOD(H1281,30)&gt;=1.5),1,0)*VLOOKUP(D1281,'报价表-配送'!$B$16:$I$21,5,0)</f>
        <v>0</v>
      </c>
      <c r="M1281" s="39">
        <f>IF(AND(MOD(H1281,30)&lt;1.5,MOD(H1281,30)&gt;=0.5),H1281,0)*VLOOKUP(D1281,'报价表-配送'!$B$16:$I$21,4,0)*1000+IF(AND(MOD(H1281,30)&lt;0.5,MOD(H1281,30)&gt;=0.02),H1281,0)*VLOOKUP(D1281,'报价表-配送'!$B$16:$I$21,3,0)*1000+IF(AND(MOD(H1281,30)&lt;0.02),H1281,0)*VLOOKUP(D1281,'报价表-配送'!$B$16:$I$21,2,0)*1000</f>
        <v>0</v>
      </c>
      <c r="N1281" s="38">
        <f t="shared" si="19"/>
        <v>0</v>
      </c>
    </row>
    <row r="1282" spans="1:14" x14ac:dyDescent="0.25">
      <c r="A1282" t="s">
        <v>82</v>
      </c>
      <c r="B1282" s="43" t="s">
        <v>147</v>
      </c>
      <c r="C1282" s="62">
        <f>VLOOKUP(B1282,合并仓明细!$D$2:$F$74,3,0)</f>
        <v>272</v>
      </c>
      <c r="D1282" s="44" t="s">
        <v>414</v>
      </c>
      <c r="E1282" s="43" t="s">
        <v>331</v>
      </c>
      <c r="F1282" t="s">
        <v>67</v>
      </c>
      <c r="G1282" s="42">
        <v>1830</v>
      </c>
      <c r="H1282">
        <v>3.6324999999999998</v>
      </c>
      <c r="I1282" s="38">
        <f>IF(H1282&gt;30,QUOTIENT(H1282,30)*VLOOKUP(D1282,'报价表-配送'!$B$16:$I$21,8,0),0)+IF(AND(MOD(H1282,30)&gt;18,MOD(H1282,30)&lt;=30),1,0)*VLOOKUP(D1282,'报价表-配送'!$B$16:$I$21,8,0)</f>
        <v>0</v>
      </c>
      <c r="J1282" s="38">
        <f>IF(AND(MOD(H1282,30)&gt;8,MOD(H1282,30)&lt;=18),1*VLOOKUP(D1282,'报价表-配送'!$B$16:$I$21,7,0),0)</f>
        <v>0</v>
      </c>
      <c r="K1282" s="38">
        <f>IF(AND(MOD(H1282,30)&lt;=8,MOD(H1282,30)&gt;0),1,0)*VLOOKUP(D1282,'报价表-配送'!$B$16:$I$21,6,0)</f>
        <v>0</v>
      </c>
      <c r="L1282" s="33"/>
      <c r="M1282" s="1"/>
      <c r="N1282" s="38">
        <f t="shared" si="19"/>
        <v>0</v>
      </c>
    </row>
    <row r="1283" spans="1:14" x14ac:dyDescent="0.25">
      <c r="A1283" t="s">
        <v>82</v>
      </c>
      <c r="B1283" s="43" t="s">
        <v>147</v>
      </c>
      <c r="C1283" s="62">
        <f>VLOOKUP(B1283,合并仓明细!$D$2:$F$74,3,0)</f>
        <v>272</v>
      </c>
      <c r="D1283" s="44" t="s">
        <v>414</v>
      </c>
      <c r="E1283" s="43" t="s">
        <v>331</v>
      </c>
      <c r="F1283" t="s">
        <v>66</v>
      </c>
      <c r="G1283" s="42">
        <v>1802.4999999999998</v>
      </c>
      <c r="H1283"/>
      <c r="K1283" s="1"/>
      <c r="L1283" s="33"/>
      <c r="M1283" s="1"/>
      <c r="N1283" s="38">
        <f t="shared" si="19"/>
        <v>0</v>
      </c>
    </row>
    <row r="1284" spans="1:14" x14ac:dyDescent="0.25">
      <c r="A1284" t="s">
        <v>82</v>
      </c>
      <c r="B1284" s="43" t="s">
        <v>147</v>
      </c>
      <c r="C1284" s="62">
        <f>VLOOKUP(B1284,合并仓明细!$D$2:$F$74,3,0)</f>
        <v>272</v>
      </c>
      <c r="D1284" s="44" t="s">
        <v>414</v>
      </c>
      <c r="E1284" s="43" t="s">
        <v>328</v>
      </c>
      <c r="F1284" t="s">
        <v>66</v>
      </c>
      <c r="G1284" s="42">
        <v>80</v>
      </c>
      <c r="H1284">
        <v>0.08</v>
      </c>
      <c r="K1284" s="1"/>
      <c r="L1284" s="37">
        <f>IF(H1284&gt;30,QUOTIENT(H1284,30)*VLOOKUP(D1284,'报价表-配送'!$B$16:$I$21,8,0),0)+IF(AND(MOD(H1284,30)&gt;18,MOD(H1284,30)&lt;=30),1,0)*VLOOKUP(D1284,'报价表-配送'!$B$16:$I$21,8,0)+IF(AND(MOD(H1284,30)&gt;8,MOD(H1284,30)&lt;=18),1*VLOOKUP(D1284,'报价表-配送'!$B$16:$I$21,7,0),0)+IF(AND(MOD(H1284,30)&lt;=8,MOD(H1284,30)&gt;2.5),1,0)*VLOOKUP(D1284,'报价表-配送'!$B$16:$I$21,6,0)+IF(AND(MOD(H1284,30)&lt;=2.5,MOD(H1284,30)&gt;=1.5),1,0)*VLOOKUP(D1284,'报价表-配送'!$B$16:$I$21,5,0)</f>
        <v>0</v>
      </c>
      <c r="M1284" s="39">
        <f>IF(AND(MOD(H1284,30)&lt;1.5,MOD(H1284,30)&gt;=0.5),H1284,0)*VLOOKUP(D1284,'报价表-配送'!$B$16:$I$21,4,0)*1000+IF(AND(MOD(H1284,30)&lt;0.5,MOD(H1284,30)&gt;=0.02),H1284,0)*VLOOKUP(D1284,'报价表-配送'!$B$16:$I$21,3,0)*1000+IF(AND(MOD(H1284,30)&lt;0.02),H1284,0)*VLOOKUP(D1284,'报价表-配送'!$B$16:$I$21,2,0)*1000</f>
        <v>0</v>
      </c>
      <c r="N1284" s="38">
        <f t="shared" si="19"/>
        <v>0</v>
      </c>
    </row>
    <row r="1285" spans="1:14" x14ac:dyDescent="0.25">
      <c r="A1285" t="s">
        <v>82</v>
      </c>
      <c r="B1285" s="43" t="s">
        <v>147</v>
      </c>
      <c r="C1285" s="62">
        <f>VLOOKUP(B1285,合并仓明细!$D$2:$F$74,3,0)</f>
        <v>272</v>
      </c>
      <c r="D1285" s="44" t="s">
        <v>414</v>
      </c>
      <c r="E1285" s="43" t="s">
        <v>332</v>
      </c>
      <c r="F1285" t="s">
        <v>66</v>
      </c>
      <c r="G1285" s="42">
        <v>293.90000000000003</v>
      </c>
      <c r="H1285">
        <v>0.29390000000000005</v>
      </c>
      <c r="K1285" s="1"/>
      <c r="L1285" s="37">
        <f>IF(H1285&gt;30,QUOTIENT(H1285,30)*VLOOKUP(D1285,'报价表-配送'!$B$16:$I$21,8,0),0)+IF(AND(MOD(H1285,30)&gt;18,MOD(H1285,30)&lt;=30),1,0)*VLOOKUP(D1285,'报价表-配送'!$B$16:$I$21,8,0)+IF(AND(MOD(H1285,30)&gt;8,MOD(H1285,30)&lt;=18),1*VLOOKUP(D1285,'报价表-配送'!$B$16:$I$21,7,0),0)+IF(AND(MOD(H1285,30)&lt;=8,MOD(H1285,30)&gt;2.5),1,0)*VLOOKUP(D1285,'报价表-配送'!$B$16:$I$21,6,0)+IF(AND(MOD(H1285,30)&lt;=2.5,MOD(H1285,30)&gt;=1.5),1,0)*VLOOKUP(D1285,'报价表-配送'!$B$16:$I$21,5,0)</f>
        <v>0</v>
      </c>
      <c r="M1285" s="39">
        <f>IF(AND(MOD(H1285,30)&lt;1.5,MOD(H1285,30)&gt;=0.5),H1285,0)*VLOOKUP(D1285,'报价表-配送'!$B$16:$I$21,4,0)*1000+IF(AND(MOD(H1285,30)&lt;0.5,MOD(H1285,30)&gt;=0.02),H1285,0)*VLOOKUP(D1285,'报价表-配送'!$B$16:$I$21,3,0)*1000+IF(AND(MOD(H1285,30)&lt;0.02),H1285,0)*VLOOKUP(D1285,'报价表-配送'!$B$16:$I$21,2,0)*1000</f>
        <v>0</v>
      </c>
      <c r="N1285" s="38">
        <f t="shared" si="19"/>
        <v>0</v>
      </c>
    </row>
    <row r="1286" spans="1:14" x14ac:dyDescent="0.25">
      <c r="A1286" s="103" t="s">
        <v>82</v>
      </c>
      <c r="B1286" s="106" t="s">
        <v>147</v>
      </c>
      <c r="C1286" s="62">
        <f>VLOOKUP(B1286,合并仓明细!$D$2:$F$74,3,0)</f>
        <v>272</v>
      </c>
      <c r="D1286" s="107" t="s">
        <v>514</v>
      </c>
      <c r="E1286" s="106" t="s">
        <v>332</v>
      </c>
      <c r="F1286" s="103" t="s">
        <v>67</v>
      </c>
      <c r="G1286">
        <v>39000</v>
      </c>
      <c r="H1286">
        <v>39</v>
      </c>
      <c r="I1286" s="38">
        <f>IF(H1286&gt;30,QUOTIENT(H1286,30)*VLOOKUP(D1286,'报价表-配送'!$B$16:$I$21,8,0),0)+IF(AND(MOD(H1286,30)&gt;18,MOD(H1286,30)&lt;=30),1,0)*VLOOKUP(D1286,'报价表-配送'!$B$16:$I$21,8,0)</f>
        <v>0</v>
      </c>
      <c r="J1286" s="38">
        <f>IF(AND(MOD(H1286,30)&gt;8,MOD(H1286,30)&lt;=18),1*VLOOKUP(D1286,'报价表-配送'!$B$16:$I$21,7,0),0)</f>
        <v>0</v>
      </c>
      <c r="K1286" s="38">
        <f>IF(AND(MOD(H1286,30)&lt;=8,MOD(H1286,30)&gt;0),1,0)*VLOOKUP(D1286,'报价表-配送'!$B$16:$I$21,6,0)</f>
        <v>0</v>
      </c>
      <c r="L1286" s="37"/>
      <c r="M1286" s="39"/>
      <c r="N1286" s="38">
        <f t="shared" si="19"/>
        <v>0</v>
      </c>
    </row>
    <row r="1287" spans="1:14" x14ac:dyDescent="0.25">
      <c r="A1287" s="103" t="s">
        <v>82</v>
      </c>
      <c r="B1287" s="106" t="s">
        <v>147</v>
      </c>
      <c r="C1287" s="62">
        <f>VLOOKUP(B1287,合并仓明细!$D$2:$F$74,3,0)</f>
        <v>272</v>
      </c>
      <c r="D1287" s="107" t="s">
        <v>514</v>
      </c>
      <c r="E1287" s="106" t="s">
        <v>332</v>
      </c>
      <c r="F1287" s="103" t="s">
        <v>67</v>
      </c>
      <c r="G1287">
        <v>8000</v>
      </c>
      <c r="H1287">
        <v>8</v>
      </c>
      <c r="I1287" s="38">
        <f>IF(H1287&gt;30,QUOTIENT(H1287,30)*VLOOKUP(D1287,'报价表-配送'!$B$16:$I$21,8,0),0)+IF(AND(MOD(H1287,30)&gt;18,MOD(H1287,30)&lt;=30),1,0)*VLOOKUP(D1287,'报价表-配送'!$B$16:$I$21,8,0)</f>
        <v>0</v>
      </c>
      <c r="J1287" s="38">
        <f>IF(AND(MOD(H1287,30)&gt;8,MOD(H1287,30)&lt;=18),1*VLOOKUP(D1287,'报价表-配送'!$B$16:$I$21,7,0),0)</f>
        <v>0</v>
      </c>
      <c r="K1287" s="38">
        <f>IF(AND(MOD(H1287,30)&lt;=8,MOD(H1287,30)&gt;0),1,0)*VLOOKUP(D1287,'报价表-配送'!$B$16:$I$21,6,0)</f>
        <v>0</v>
      </c>
      <c r="L1287" s="37"/>
      <c r="M1287" s="39"/>
      <c r="N1287" s="38">
        <f t="shared" si="19"/>
        <v>0</v>
      </c>
    </row>
    <row r="1288" spans="1:14" x14ac:dyDescent="0.25">
      <c r="A1288" s="103" t="s">
        <v>82</v>
      </c>
      <c r="B1288" s="106" t="s">
        <v>147</v>
      </c>
      <c r="C1288" s="62">
        <f>VLOOKUP(B1288,合并仓明细!$D$2:$F$74,3,0)</f>
        <v>272</v>
      </c>
      <c r="D1288" s="107" t="s">
        <v>514</v>
      </c>
      <c r="E1288" s="106" t="s">
        <v>332</v>
      </c>
      <c r="F1288" s="105" t="s">
        <v>66</v>
      </c>
      <c r="G1288">
        <v>2500</v>
      </c>
      <c r="H1288">
        <v>2.5</v>
      </c>
      <c r="K1288" s="1"/>
      <c r="L1288" s="37">
        <f>IF(H1288&gt;30,QUOTIENT(H1288,30)*VLOOKUP(D1288,'报价表-配送'!$B$16:$I$21,8,0),0)+IF(AND(MOD(H1288,30)&gt;18,MOD(H1288,30)&lt;=30),1,0)*VLOOKUP(D1288,'报价表-配送'!$B$16:$I$21,8,0)+IF(AND(MOD(H1288,30)&gt;8,MOD(H1288,30)&lt;=18),1*VLOOKUP(D1288,'报价表-配送'!$B$16:$I$21,7,0),0)+IF(AND(MOD(H1288,30)&lt;=8,MOD(H1288,30)&gt;2.5),1,0)*VLOOKUP(D1288,'报价表-配送'!$B$16:$I$21,6,0)+IF(AND(MOD(H1288,30)&lt;=2.5,MOD(H1288,30)&gt;=1.5),1,0)*VLOOKUP(D1288,'报价表-配送'!$B$16:$I$21,5,0)</f>
        <v>0</v>
      </c>
      <c r="M1288" s="39">
        <f>IF(AND(MOD(H1288,30)&lt;1.5,MOD(H1288,30)&gt;=0.5),H1288,0)*VLOOKUP(D1288,'报价表-配送'!$B$16:$I$21,4,0)*1000+IF(AND(MOD(H1288,30)&lt;0.5,MOD(H1288,30)&gt;=0.02),H1288,0)*VLOOKUP(D1288,'报价表-配送'!$B$16:$I$21,3,0)*1000+IF(AND(MOD(H1288,30)&lt;0.02),H1288,0)*VLOOKUP(D1288,'报价表-配送'!$B$16:$I$21,2,0)*1000</f>
        <v>0</v>
      </c>
      <c r="N1288" s="38">
        <f t="shared" si="19"/>
        <v>0</v>
      </c>
    </row>
    <row r="1289" spans="1:14" x14ac:dyDescent="0.25">
      <c r="A1289" s="103" t="s">
        <v>82</v>
      </c>
      <c r="B1289" s="106" t="s">
        <v>147</v>
      </c>
      <c r="C1289" s="62">
        <f>VLOOKUP(B1289,合并仓明细!$D$2:$F$74,3,0)</f>
        <v>272</v>
      </c>
      <c r="D1289" s="107" t="s">
        <v>514</v>
      </c>
      <c r="E1289" s="106" t="s">
        <v>332</v>
      </c>
      <c r="F1289" s="105" t="s">
        <v>66</v>
      </c>
      <c r="G1289">
        <v>1000</v>
      </c>
      <c r="H1289">
        <v>1</v>
      </c>
      <c r="K1289" s="1"/>
      <c r="L1289" s="37">
        <f>IF(H1289&gt;30,QUOTIENT(H1289,30)*VLOOKUP(D1289,'报价表-配送'!$B$16:$I$21,8,0),0)+IF(AND(MOD(H1289,30)&gt;18,MOD(H1289,30)&lt;=30),1,0)*VLOOKUP(D1289,'报价表-配送'!$B$16:$I$21,8,0)+IF(AND(MOD(H1289,30)&gt;8,MOD(H1289,30)&lt;=18),1*VLOOKUP(D1289,'报价表-配送'!$B$16:$I$21,7,0),0)+IF(AND(MOD(H1289,30)&lt;=8,MOD(H1289,30)&gt;2.5),1,0)*VLOOKUP(D1289,'报价表-配送'!$B$16:$I$21,6,0)+IF(AND(MOD(H1289,30)&lt;=2.5,MOD(H1289,30)&gt;=1.5),1,0)*VLOOKUP(D1289,'报价表-配送'!$B$16:$I$21,5,0)</f>
        <v>0</v>
      </c>
      <c r="M1289" s="39">
        <f>IF(AND(MOD(H1289,30)&lt;1.5,MOD(H1289,30)&gt;=0.5),H1289,0)*VLOOKUP(D1289,'报价表-配送'!$B$16:$I$21,4,0)*1000+IF(AND(MOD(H1289,30)&lt;0.5,MOD(H1289,30)&gt;=0.02),H1289,0)*VLOOKUP(D1289,'报价表-配送'!$B$16:$I$21,3,0)*1000+IF(AND(MOD(H1289,30)&lt;0.02),H1289,0)*VLOOKUP(D1289,'报价表-配送'!$B$16:$I$21,2,0)*1000</f>
        <v>0</v>
      </c>
      <c r="N1289" s="38">
        <f t="shared" si="19"/>
        <v>0</v>
      </c>
    </row>
    <row r="1290" spans="1:14" x14ac:dyDescent="0.25">
      <c r="A1290" s="103" t="s">
        <v>82</v>
      </c>
      <c r="B1290" s="106" t="s">
        <v>147</v>
      </c>
      <c r="C1290" s="62">
        <f>VLOOKUP(B1290,合并仓明细!$D$2:$F$74,3,0)</f>
        <v>272</v>
      </c>
      <c r="D1290" s="107" t="s">
        <v>514</v>
      </c>
      <c r="E1290" s="106" t="s">
        <v>332</v>
      </c>
      <c r="F1290" s="105" t="s">
        <v>66</v>
      </c>
      <c r="G1290">
        <v>400</v>
      </c>
      <c r="H1290">
        <v>0.4</v>
      </c>
      <c r="K1290" s="1"/>
      <c r="L1290" s="37">
        <f>IF(H1290&gt;30,QUOTIENT(H1290,30)*VLOOKUP(D1290,'报价表-配送'!$B$16:$I$21,8,0),0)+IF(AND(MOD(H1290,30)&gt;18,MOD(H1290,30)&lt;=30),1,0)*VLOOKUP(D1290,'报价表-配送'!$B$16:$I$21,8,0)+IF(AND(MOD(H1290,30)&gt;8,MOD(H1290,30)&lt;=18),1*VLOOKUP(D1290,'报价表-配送'!$B$16:$I$21,7,0),0)+IF(AND(MOD(H1290,30)&lt;=8,MOD(H1290,30)&gt;2.5),1,0)*VLOOKUP(D1290,'报价表-配送'!$B$16:$I$21,6,0)+IF(AND(MOD(H1290,30)&lt;=2.5,MOD(H1290,30)&gt;=1.5),1,0)*VLOOKUP(D1290,'报价表-配送'!$B$16:$I$21,5,0)</f>
        <v>0</v>
      </c>
      <c r="M1290" s="39">
        <f>IF(AND(MOD(H1290,30)&lt;1.5,MOD(H1290,30)&gt;=0.5),H1290,0)*VLOOKUP(D1290,'报价表-配送'!$B$16:$I$21,4,0)*1000+IF(AND(MOD(H1290,30)&lt;0.5,MOD(H1290,30)&gt;=0.02),H1290,0)*VLOOKUP(D1290,'报价表-配送'!$B$16:$I$21,3,0)*1000+IF(AND(MOD(H1290,30)&lt;0.02),H1290,0)*VLOOKUP(D1290,'报价表-配送'!$B$16:$I$21,2,0)*1000</f>
        <v>0</v>
      </c>
      <c r="N1290" s="38">
        <f t="shared" si="19"/>
        <v>0</v>
      </c>
    </row>
    <row r="1291" spans="1:14" x14ac:dyDescent="0.25">
      <c r="A1291" s="103" t="s">
        <v>82</v>
      </c>
      <c r="B1291" s="106" t="s">
        <v>147</v>
      </c>
      <c r="C1291" s="62">
        <f>VLOOKUP(B1291,合并仓明细!$D$2:$F$74,3,0)</f>
        <v>272</v>
      </c>
      <c r="D1291" s="107" t="s">
        <v>514</v>
      </c>
      <c r="E1291" s="106" t="s">
        <v>332</v>
      </c>
      <c r="F1291" s="105" t="s">
        <v>66</v>
      </c>
      <c r="G1291">
        <v>2</v>
      </c>
      <c r="H1291">
        <v>2E-3</v>
      </c>
      <c r="K1291" s="1"/>
      <c r="L1291" s="37">
        <f>IF(H1291&gt;30,QUOTIENT(H1291,30)*VLOOKUP(D1291,'报价表-配送'!$B$16:$I$21,8,0),0)+IF(AND(MOD(H1291,30)&gt;18,MOD(H1291,30)&lt;=30),1,0)*VLOOKUP(D1291,'报价表-配送'!$B$16:$I$21,8,0)+IF(AND(MOD(H1291,30)&gt;8,MOD(H1291,30)&lt;=18),1*VLOOKUP(D1291,'报价表-配送'!$B$16:$I$21,7,0),0)+IF(AND(MOD(H1291,30)&lt;=8,MOD(H1291,30)&gt;2.5),1,0)*VLOOKUP(D1291,'报价表-配送'!$B$16:$I$21,6,0)+IF(AND(MOD(H1291,30)&lt;=2.5,MOD(H1291,30)&gt;=1.5),1,0)*VLOOKUP(D1291,'报价表-配送'!$B$16:$I$21,5,0)</f>
        <v>0</v>
      </c>
      <c r="M1291" s="39">
        <f>IF(AND(MOD(H1291,30)&lt;1.5,MOD(H1291,30)&gt;=0.5),H1291,0)*VLOOKUP(D1291,'报价表-配送'!$B$16:$I$21,4,0)*1000+IF(AND(MOD(H1291,30)&lt;0.5,MOD(H1291,30)&gt;=0.02),H1291,0)*VLOOKUP(D1291,'报价表-配送'!$B$16:$I$21,3,0)*1000+IF(AND(MOD(H1291,30)&lt;0.02),H1291,0)*VLOOKUP(D1291,'报价表-配送'!$B$16:$I$21,2,0)*1000</f>
        <v>0</v>
      </c>
      <c r="N1291" s="38">
        <f t="shared" si="19"/>
        <v>0</v>
      </c>
    </row>
    <row r="1292" spans="1:14" x14ac:dyDescent="0.25">
      <c r="A1292" t="s">
        <v>82</v>
      </c>
      <c r="B1292" s="43" t="s">
        <v>148</v>
      </c>
      <c r="C1292" s="62">
        <f>VLOOKUP(B1292,合并仓明细!$D$2:$F$74,3,0)</f>
        <v>452</v>
      </c>
      <c r="D1292" s="44" t="s">
        <v>25</v>
      </c>
      <c r="E1292" s="43" t="s">
        <v>262</v>
      </c>
      <c r="F1292" t="s">
        <v>66</v>
      </c>
      <c r="G1292" s="42">
        <v>17.62</v>
      </c>
      <c r="H1292">
        <v>1.762E-2</v>
      </c>
      <c r="K1292" s="1"/>
      <c r="L1292" s="37">
        <f>IF(H1292&gt;30,QUOTIENT(H1292,30)*VLOOKUP(D1292,'报价表-配送'!$B$16:$I$21,8,0),0)+IF(AND(MOD(H1292,30)&gt;18,MOD(H1292,30)&lt;=30),1,0)*VLOOKUP(D1292,'报价表-配送'!$B$16:$I$21,8,0)+IF(AND(MOD(H1292,30)&gt;8,MOD(H1292,30)&lt;=18),1*VLOOKUP(D1292,'报价表-配送'!$B$16:$I$21,7,0),0)+IF(AND(MOD(H1292,30)&lt;=8,MOD(H1292,30)&gt;2.5),1,0)*VLOOKUP(D1292,'报价表-配送'!$B$16:$I$21,6,0)+IF(AND(MOD(H1292,30)&lt;=2.5,MOD(H1292,30)&gt;=1.5),1,0)*VLOOKUP(D1292,'报价表-配送'!$B$16:$I$21,5,0)</f>
        <v>0</v>
      </c>
      <c r="M1292" s="39">
        <f>IF(AND(MOD(H1292,30)&lt;1.5,MOD(H1292,30)&gt;=0.5),H1292,0)*VLOOKUP(D1292,'报价表-配送'!$B$16:$I$21,4,0)*1000+IF(AND(MOD(H1292,30)&lt;0.5,MOD(H1292,30)&gt;=0.02),H1292,0)*VLOOKUP(D1292,'报价表-配送'!$B$16:$I$21,3,0)*1000+IF(AND(MOD(H1292,30)&lt;0.02),H1292,0)*VLOOKUP(D1292,'报价表-配送'!$B$16:$I$21,2,0)*1000</f>
        <v>0</v>
      </c>
      <c r="N1292" s="38">
        <f t="shared" si="19"/>
        <v>0</v>
      </c>
    </row>
    <row r="1293" spans="1:14" x14ac:dyDescent="0.25">
      <c r="A1293" t="s">
        <v>82</v>
      </c>
      <c r="B1293" s="43" t="s">
        <v>148</v>
      </c>
      <c r="C1293" s="62">
        <f>VLOOKUP(B1293,合并仓明细!$D$2:$F$74,3,0)</f>
        <v>452</v>
      </c>
      <c r="D1293" s="44" t="s">
        <v>25</v>
      </c>
      <c r="E1293" s="43" t="s">
        <v>308</v>
      </c>
      <c r="F1293" t="s">
        <v>66</v>
      </c>
      <c r="G1293" s="42">
        <v>17.920000000000002</v>
      </c>
      <c r="H1293">
        <v>1.7920000000000002E-2</v>
      </c>
      <c r="K1293" s="1"/>
      <c r="L1293" s="37">
        <f>IF(H1293&gt;30,QUOTIENT(H1293,30)*VLOOKUP(D1293,'报价表-配送'!$B$16:$I$21,8,0),0)+IF(AND(MOD(H1293,30)&gt;18,MOD(H1293,30)&lt;=30),1,0)*VLOOKUP(D1293,'报价表-配送'!$B$16:$I$21,8,0)+IF(AND(MOD(H1293,30)&gt;8,MOD(H1293,30)&lt;=18),1*VLOOKUP(D1293,'报价表-配送'!$B$16:$I$21,7,0),0)+IF(AND(MOD(H1293,30)&lt;=8,MOD(H1293,30)&gt;2.5),1,0)*VLOOKUP(D1293,'报价表-配送'!$B$16:$I$21,6,0)+IF(AND(MOD(H1293,30)&lt;=2.5,MOD(H1293,30)&gt;=1.5),1,0)*VLOOKUP(D1293,'报价表-配送'!$B$16:$I$21,5,0)</f>
        <v>0</v>
      </c>
      <c r="M1293" s="39">
        <f>IF(AND(MOD(H1293,30)&lt;1.5,MOD(H1293,30)&gt;=0.5),H1293,0)*VLOOKUP(D1293,'报价表-配送'!$B$16:$I$21,4,0)*1000+IF(AND(MOD(H1293,30)&lt;0.5,MOD(H1293,30)&gt;=0.02),H1293,0)*VLOOKUP(D1293,'报价表-配送'!$B$16:$I$21,3,0)*1000+IF(AND(MOD(H1293,30)&lt;0.02),H1293,0)*VLOOKUP(D1293,'报价表-配送'!$B$16:$I$21,2,0)*1000</f>
        <v>0</v>
      </c>
      <c r="N1293" s="38">
        <f t="shared" si="19"/>
        <v>0</v>
      </c>
    </row>
    <row r="1294" spans="1:14" x14ac:dyDescent="0.25">
      <c r="A1294" t="s">
        <v>82</v>
      </c>
      <c r="B1294" s="43" t="s">
        <v>148</v>
      </c>
      <c r="C1294" s="62">
        <f>VLOOKUP(B1294,合并仓明细!$D$2:$F$74,3,0)</f>
        <v>452</v>
      </c>
      <c r="D1294" s="44" t="s">
        <v>25</v>
      </c>
      <c r="E1294" s="43" t="s">
        <v>333</v>
      </c>
      <c r="F1294" t="s">
        <v>66</v>
      </c>
      <c r="G1294" s="42">
        <v>16.13</v>
      </c>
      <c r="H1294">
        <v>1.6129999999999999E-2</v>
      </c>
      <c r="K1294" s="1"/>
      <c r="L1294" s="37">
        <f>IF(H1294&gt;30,QUOTIENT(H1294,30)*VLOOKUP(D1294,'报价表-配送'!$B$16:$I$21,8,0),0)+IF(AND(MOD(H1294,30)&gt;18,MOD(H1294,30)&lt;=30),1,0)*VLOOKUP(D1294,'报价表-配送'!$B$16:$I$21,8,0)+IF(AND(MOD(H1294,30)&gt;8,MOD(H1294,30)&lt;=18),1*VLOOKUP(D1294,'报价表-配送'!$B$16:$I$21,7,0),0)+IF(AND(MOD(H1294,30)&lt;=8,MOD(H1294,30)&gt;2.5),1,0)*VLOOKUP(D1294,'报价表-配送'!$B$16:$I$21,6,0)+IF(AND(MOD(H1294,30)&lt;=2.5,MOD(H1294,30)&gt;=1.5),1,0)*VLOOKUP(D1294,'报价表-配送'!$B$16:$I$21,5,0)</f>
        <v>0</v>
      </c>
      <c r="M1294" s="39">
        <f>IF(AND(MOD(H1294,30)&lt;1.5,MOD(H1294,30)&gt;=0.5),H1294,0)*VLOOKUP(D1294,'报价表-配送'!$B$16:$I$21,4,0)*1000+IF(AND(MOD(H1294,30)&lt;0.5,MOD(H1294,30)&gt;=0.02),H1294,0)*VLOOKUP(D1294,'报价表-配送'!$B$16:$I$21,3,0)*1000+IF(AND(MOD(H1294,30)&lt;0.02),H1294,0)*VLOOKUP(D1294,'报价表-配送'!$B$16:$I$21,2,0)*1000</f>
        <v>0</v>
      </c>
      <c r="N1294" s="38">
        <f t="shared" si="19"/>
        <v>0</v>
      </c>
    </row>
    <row r="1295" spans="1:14" x14ac:dyDescent="0.25">
      <c r="A1295" t="s">
        <v>82</v>
      </c>
      <c r="B1295" s="43" t="s">
        <v>148</v>
      </c>
      <c r="C1295" s="62">
        <f>VLOOKUP(B1295,合并仓明细!$D$2:$F$74,3,0)</f>
        <v>452</v>
      </c>
      <c r="D1295" s="44" t="s">
        <v>25</v>
      </c>
      <c r="E1295" s="43" t="s">
        <v>257</v>
      </c>
      <c r="F1295" t="s">
        <v>67</v>
      </c>
      <c r="G1295" s="42">
        <v>84.96</v>
      </c>
      <c r="H1295">
        <v>8.4959999999999994E-2</v>
      </c>
      <c r="I1295" s="38">
        <f>IF(H1295&gt;30,QUOTIENT(H1295,30)*VLOOKUP(D1295,'报价表-配送'!$B$16:$I$21,8,0),0)+IF(AND(MOD(H1295,30)&gt;18,MOD(H1295,30)&lt;=30),1,0)*VLOOKUP(D1295,'报价表-配送'!$B$16:$I$21,8,0)</f>
        <v>0</v>
      </c>
      <c r="J1295" s="38">
        <f>IF(AND(MOD(H1295,30)&gt;8,MOD(H1295,30)&lt;=18),1*VLOOKUP(D1295,'报价表-配送'!$B$16:$I$21,7,0),0)</f>
        <v>0</v>
      </c>
      <c r="K1295" s="38">
        <f>IF(AND(MOD(H1295,30)&lt;=8,MOD(H1295,30)&gt;0),1,0)*VLOOKUP(D1295,'报价表-配送'!$B$16:$I$21,6,0)</f>
        <v>0</v>
      </c>
      <c r="L1295" s="33"/>
      <c r="M1295" s="1"/>
      <c r="N1295" s="38">
        <f t="shared" si="19"/>
        <v>0</v>
      </c>
    </row>
    <row r="1296" spans="1:14" x14ac:dyDescent="0.25">
      <c r="A1296" t="s">
        <v>82</v>
      </c>
      <c r="B1296" s="43" t="s">
        <v>148</v>
      </c>
      <c r="C1296" s="62">
        <f>VLOOKUP(B1296,合并仓明细!$D$2:$F$74,3,0)</f>
        <v>452</v>
      </c>
      <c r="D1296" s="44" t="s">
        <v>25</v>
      </c>
      <c r="E1296" s="43" t="s">
        <v>369</v>
      </c>
      <c r="F1296" t="s">
        <v>66</v>
      </c>
      <c r="G1296" s="42">
        <v>44.44</v>
      </c>
      <c r="H1296">
        <v>4.444E-2</v>
      </c>
      <c r="K1296" s="1"/>
      <c r="L1296" s="37">
        <f>IF(H1296&gt;30,QUOTIENT(H1296,30)*VLOOKUP(D1296,'报价表-配送'!$B$16:$I$21,8,0),0)+IF(AND(MOD(H1296,30)&gt;18,MOD(H1296,30)&lt;=30),1,0)*VLOOKUP(D1296,'报价表-配送'!$B$16:$I$21,8,0)+IF(AND(MOD(H1296,30)&gt;8,MOD(H1296,30)&lt;=18),1*VLOOKUP(D1296,'报价表-配送'!$B$16:$I$21,7,0),0)+IF(AND(MOD(H1296,30)&lt;=8,MOD(H1296,30)&gt;2.5),1,0)*VLOOKUP(D1296,'报价表-配送'!$B$16:$I$21,6,0)+IF(AND(MOD(H1296,30)&lt;=2.5,MOD(H1296,30)&gt;=1.5),1,0)*VLOOKUP(D1296,'报价表-配送'!$B$16:$I$21,5,0)</f>
        <v>0</v>
      </c>
      <c r="M1296" s="39">
        <f>IF(AND(MOD(H1296,30)&lt;1.5,MOD(H1296,30)&gt;=0.5),H1296,0)*VLOOKUP(D1296,'报价表-配送'!$B$16:$I$21,4,0)*1000+IF(AND(MOD(H1296,30)&lt;0.5,MOD(H1296,30)&gt;=0.02),H1296,0)*VLOOKUP(D1296,'报价表-配送'!$B$16:$I$21,3,0)*1000+IF(AND(MOD(H1296,30)&lt;0.02),H1296,0)*VLOOKUP(D1296,'报价表-配送'!$B$16:$I$21,2,0)*1000</f>
        <v>0</v>
      </c>
      <c r="N1296" s="38">
        <f t="shared" si="19"/>
        <v>0</v>
      </c>
    </row>
    <row r="1297" spans="1:14" x14ac:dyDescent="0.25">
      <c r="A1297" t="s">
        <v>82</v>
      </c>
      <c r="B1297" s="43" t="s">
        <v>148</v>
      </c>
      <c r="C1297" s="62">
        <f>VLOOKUP(B1297,合并仓明细!$D$2:$F$74,3,0)</f>
        <v>452</v>
      </c>
      <c r="D1297" s="44" t="s">
        <v>25</v>
      </c>
      <c r="E1297" s="43" t="s">
        <v>266</v>
      </c>
      <c r="F1297" t="s">
        <v>66</v>
      </c>
      <c r="G1297" s="42">
        <v>5.1099999999999994</v>
      </c>
      <c r="H1297">
        <v>5.1099999999999991E-3</v>
      </c>
      <c r="K1297" s="1"/>
      <c r="L1297" s="37">
        <f>IF(H1297&gt;30,QUOTIENT(H1297,30)*VLOOKUP(D1297,'报价表-配送'!$B$16:$I$21,8,0),0)+IF(AND(MOD(H1297,30)&gt;18,MOD(H1297,30)&lt;=30),1,0)*VLOOKUP(D1297,'报价表-配送'!$B$16:$I$21,8,0)+IF(AND(MOD(H1297,30)&gt;8,MOD(H1297,30)&lt;=18),1*VLOOKUP(D1297,'报价表-配送'!$B$16:$I$21,7,0),0)+IF(AND(MOD(H1297,30)&lt;=8,MOD(H1297,30)&gt;2.5),1,0)*VLOOKUP(D1297,'报价表-配送'!$B$16:$I$21,6,0)+IF(AND(MOD(H1297,30)&lt;=2.5,MOD(H1297,30)&gt;=1.5),1,0)*VLOOKUP(D1297,'报价表-配送'!$B$16:$I$21,5,0)</f>
        <v>0</v>
      </c>
      <c r="M1297" s="39">
        <f>IF(AND(MOD(H1297,30)&lt;1.5,MOD(H1297,30)&gt;=0.5),H1297,0)*VLOOKUP(D1297,'报价表-配送'!$B$16:$I$21,4,0)*1000+IF(AND(MOD(H1297,30)&lt;0.5,MOD(H1297,30)&gt;=0.02),H1297,0)*VLOOKUP(D1297,'报价表-配送'!$B$16:$I$21,3,0)*1000+IF(AND(MOD(H1297,30)&lt;0.02),H1297,0)*VLOOKUP(D1297,'报价表-配送'!$B$16:$I$21,2,0)*1000</f>
        <v>0</v>
      </c>
      <c r="N1297" s="38">
        <f t="shared" si="19"/>
        <v>0</v>
      </c>
    </row>
    <row r="1298" spans="1:14" x14ac:dyDescent="0.25">
      <c r="A1298" t="s">
        <v>82</v>
      </c>
      <c r="B1298" s="43" t="s">
        <v>148</v>
      </c>
      <c r="C1298" s="62">
        <f>VLOOKUP(B1298,合并仓明细!$D$2:$F$74,3,0)</f>
        <v>452</v>
      </c>
      <c r="D1298" s="44" t="s">
        <v>25</v>
      </c>
      <c r="E1298" s="43" t="s">
        <v>309</v>
      </c>
      <c r="F1298" t="s">
        <v>66</v>
      </c>
      <c r="G1298" s="42">
        <v>23.55</v>
      </c>
      <c r="H1298">
        <v>2.3550000000000001E-2</v>
      </c>
      <c r="K1298" s="1"/>
      <c r="L1298" s="37">
        <f>IF(H1298&gt;30,QUOTIENT(H1298,30)*VLOOKUP(D1298,'报价表-配送'!$B$16:$I$21,8,0),0)+IF(AND(MOD(H1298,30)&gt;18,MOD(H1298,30)&lt;=30),1,0)*VLOOKUP(D1298,'报价表-配送'!$B$16:$I$21,8,0)+IF(AND(MOD(H1298,30)&gt;8,MOD(H1298,30)&lt;=18),1*VLOOKUP(D1298,'报价表-配送'!$B$16:$I$21,7,0),0)+IF(AND(MOD(H1298,30)&lt;=8,MOD(H1298,30)&gt;2.5),1,0)*VLOOKUP(D1298,'报价表-配送'!$B$16:$I$21,6,0)+IF(AND(MOD(H1298,30)&lt;=2.5,MOD(H1298,30)&gt;=1.5),1,0)*VLOOKUP(D1298,'报价表-配送'!$B$16:$I$21,5,0)</f>
        <v>0</v>
      </c>
      <c r="M1298" s="39">
        <f>IF(AND(MOD(H1298,30)&lt;1.5,MOD(H1298,30)&gt;=0.5),H1298,0)*VLOOKUP(D1298,'报价表-配送'!$B$16:$I$21,4,0)*1000+IF(AND(MOD(H1298,30)&lt;0.5,MOD(H1298,30)&gt;=0.02),H1298,0)*VLOOKUP(D1298,'报价表-配送'!$B$16:$I$21,3,0)*1000+IF(AND(MOD(H1298,30)&lt;0.02),H1298,0)*VLOOKUP(D1298,'报价表-配送'!$B$16:$I$21,2,0)*1000</f>
        <v>0</v>
      </c>
      <c r="N1298" s="38">
        <f t="shared" si="19"/>
        <v>0</v>
      </c>
    </row>
    <row r="1299" spans="1:14" x14ac:dyDescent="0.25">
      <c r="A1299" t="s">
        <v>82</v>
      </c>
      <c r="B1299" s="43" t="s">
        <v>148</v>
      </c>
      <c r="C1299" s="62">
        <f>VLOOKUP(B1299,合并仓明细!$D$2:$F$74,3,0)</f>
        <v>452</v>
      </c>
      <c r="D1299" s="44" t="s">
        <v>25</v>
      </c>
      <c r="E1299" s="43" t="s">
        <v>334</v>
      </c>
      <c r="F1299" t="s">
        <v>66</v>
      </c>
      <c r="G1299" s="42">
        <v>9.69</v>
      </c>
      <c r="H1299">
        <v>9.689999999999999E-3</v>
      </c>
      <c r="K1299" s="1"/>
      <c r="L1299" s="37">
        <f>IF(H1299&gt;30,QUOTIENT(H1299,30)*VLOOKUP(D1299,'报价表-配送'!$B$16:$I$21,8,0),0)+IF(AND(MOD(H1299,30)&gt;18,MOD(H1299,30)&lt;=30),1,0)*VLOOKUP(D1299,'报价表-配送'!$B$16:$I$21,8,0)+IF(AND(MOD(H1299,30)&gt;8,MOD(H1299,30)&lt;=18),1*VLOOKUP(D1299,'报价表-配送'!$B$16:$I$21,7,0),0)+IF(AND(MOD(H1299,30)&lt;=8,MOD(H1299,30)&gt;2.5),1,0)*VLOOKUP(D1299,'报价表-配送'!$B$16:$I$21,6,0)+IF(AND(MOD(H1299,30)&lt;=2.5,MOD(H1299,30)&gt;=1.5),1,0)*VLOOKUP(D1299,'报价表-配送'!$B$16:$I$21,5,0)</f>
        <v>0</v>
      </c>
      <c r="M1299" s="39">
        <f>IF(AND(MOD(H1299,30)&lt;1.5,MOD(H1299,30)&gt;=0.5),H1299,0)*VLOOKUP(D1299,'报价表-配送'!$B$16:$I$21,4,0)*1000+IF(AND(MOD(H1299,30)&lt;0.5,MOD(H1299,30)&gt;=0.02),H1299,0)*VLOOKUP(D1299,'报价表-配送'!$B$16:$I$21,3,0)*1000+IF(AND(MOD(H1299,30)&lt;0.02),H1299,0)*VLOOKUP(D1299,'报价表-配送'!$B$16:$I$21,2,0)*1000</f>
        <v>0</v>
      </c>
      <c r="N1299" s="38">
        <f t="shared" si="19"/>
        <v>0</v>
      </c>
    </row>
    <row r="1300" spans="1:14" x14ac:dyDescent="0.25">
      <c r="A1300" t="s">
        <v>82</v>
      </c>
      <c r="B1300" s="43" t="s">
        <v>148</v>
      </c>
      <c r="C1300" s="62">
        <f>VLOOKUP(B1300,合并仓明细!$D$2:$F$74,3,0)</f>
        <v>452</v>
      </c>
      <c r="D1300" s="44" t="s">
        <v>25</v>
      </c>
      <c r="E1300" s="43" t="s">
        <v>267</v>
      </c>
      <c r="F1300" t="s">
        <v>66</v>
      </c>
      <c r="G1300" s="42">
        <v>1519.34</v>
      </c>
      <c r="H1300">
        <v>1.5193399999999999</v>
      </c>
      <c r="K1300" s="1"/>
      <c r="L1300" s="37">
        <f>IF(H1300&gt;30,QUOTIENT(H1300,30)*VLOOKUP(D1300,'报价表-配送'!$B$16:$I$21,8,0),0)+IF(AND(MOD(H1300,30)&gt;18,MOD(H1300,30)&lt;=30),1,0)*VLOOKUP(D1300,'报价表-配送'!$B$16:$I$21,8,0)+IF(AND(MOD(H1300,30)&gt;8,MOD(H1300,30)&lt;=18),1*VLOOKUP(D1300,'报价表-配送'!$B$16:$I$21,7,0),0)+IF(AND(MOD(H1300,30)&lt;=8,MOD(H1300,30)&gt;2.5),1,0)*VLOOKUP(D1300,'报价表-配送'!$B$16:$I$21,6,0)+IF(AND(MOD(H1300,30)&lt;=2.5,MOD(H1300,30)&gt;=1.5),1,0)*VLOOKUP(D1300,'报价表-配送'!$B$16:$I$21,5,0)</f>
        <v>0</v>
      </c>
      <c r="M1300" s="39">
        <f>IF(AND(MOD(H1300,30)&lt;1.5,MOD(H1300,30)&gt;=0.5),H1300,0)*VLOOKUP(D1300,'报价表-配送'!$B$16:$I$21,4,0)*1000+IF(AND(MOD(H1300,30)&lt;0.5,MOD(H1300,30)&gt;=0.02),H1300,0)*VLOOKUP(D1300,'报价表-配送'!$B$16:$I$21,3,0)*1000+IF(AND(MOD(H1300,30)&lt;0.02),H1300,0)*VLOOKUP(D1300,'报价表-配送'!$B$16:$I$21,2,0)*1000</f>
        <v>0</v>
      </c>
      <c r="N1300" s="38">
        <f t="shared" si="19"/>
        <v>0</v>
      </c>
    </row>
    <row r="1301" spans="1:14" x14ac:dyDescent="0.25">
      <c r="A1301" t="s">
        <v>82</v>
      </c>
      <c r="B1301" s="43" t="s">
        <v>148</v>
      </c>
      <c r="C1301" s="62">
        <f>VLOOKUP(B1301,合并仓明细!$D$2:$F$74,3,0)</f>
        <v>452</v>
      </c>
      <c r="D1301" s="44" t="s">
        <v>25</v>
      </c>
      <c r="E1301" s="43" t="s">
        <v>268</v>
      </c>
      <c r="F1301" t="s">
        <v>66</v>
      </c>
      <c r="G1301" s="42">
        <v>72.25</v>
      </c>
      <c r="H1301">
        <v>7.2249999999999995E-2</v>
      </c>
      <c r="K1301" s="1"/>
      <c r="L1301" s="37">
        <f>IF(H1301&gt;30,QUOTIENT(H1301,30)*VLOOKUP(D1301,'报价表-配送'!$B$16:$I$21,8,0),0)+IF(AND(MOD(H1301,30)&gt;18,MOD(H1301,30)&lt;=30),1,0)*VLOOKUP(D1301,'报价表-配送'!$B$16:$I$21,8,0)+IF(AND(MOD(H1301,30)&gt;8,MOD(H1301,30)&lt;=18),1*VLOOKUP(D1301,'报价表-配送'!$B$16:$I$21,7,0),0)+IF(AND(MOD(H1301,30)&lt;=8,MOD(H1301,30)&gt;2.5),1,0)*VLOOKUP(D1301,'报价表-配送'!$B$16:$I$21,6,0)+IF(AND(MOD(H1301,30)&lt;=2.5,MOD(H1301,30)&gt;=1.5),1,0)*VLOOKUP(D1301,'报价表-配送'!$B$16:$I$21,5,0)</f>
        <v>0</v>
      </c>
      <c r="M1301" s="39">
        <f>IF(AND(MOD(H1301,30)&lt;1.5,MOD(H1301,30)&gt;=0.5),H1301,0)*VLOOKUP(D1301,'报价表-配送'!$B$16:$I$21,4,0)*1000+IF(AND(MOD(H1301,30)&lt;0.5,MOD(H1301,30)&gt;=0.02),H1301,0)*VLOOKUP(D1301,'报价表-配送'!$B$16:$I$21,3,0)*1000+IF(AND(MOD(H1301,30)&lt;0.02),H1301,0)*VLOOKUP(D1301,'报价表-配送'!$B$16:$I$21,2,0)*1000</f>
        <v>0</v>
      </c>
      <c r="N1301" s="38">
        <f t="shared" si="19"/>
        <v>0</v>
      </c>
    </row>
    <row r="1302" spans="1:14" x14ac:dyDescent="0.25">
      <c r="A1302" t="s">
        <v>82</v>
      </c>
      <c r="B1302" s="43" t="s">
        <v>148</v>
      </c>
      <c r="C1302" s="62">
        <f>VLOOKUP(B1302,合并仓明细!$D$2:$F$74,3,0)</f>
        <v>452</v>
      </c>
      <c r="D1302" s="44" t="s">
        <v>25</v>
      </c>
      <c r="E1302" s="43" t="s">
        <v>270</v>
      </c>
      <c r="F1302" t="s">
        <v>66</v>
      </c>
      <c r="G1302" s="42">
        <v>42.46</v>
      </c>
      <c r="H1302">
        <v>4.2459999999999998E-2</v>
      </c>
      <c r="K1302" s="1"/>
      <c r="L1302" s="37">
        <f>IF(H1302&gt;30,QUOTIENT(H1302,30)*VLOOKUP(D1302,'报价表-配送'!$B$16:$I$21,8,0),0)+IF(AND(MOD(H1302,30)&gt;18,MOD(H1302,30)&lt;=30),1,0)*VLOOKUP(D1302,'报价表-配送'!$B$16:$I$21,8,0)+IF(AND(MOD(H1302,30)&gt;8,MOD(H1302,30)&lt;=18),1*VLOOKUP(D1302,'报价表-配送'!$B$16:$I$21,7,0),0)+IF(AND(MOD(H1302,30)&lt;=8,MOD(H1302,30)&gt;2.5),1,0)*VLOOKUP(D1302,'报价表-配送'!$B$16:$I$21,6,0)+IF(AND(MOD(H1302,30)&lt;=2.5,MOD(H1302,30)&gt;=1.5),1,0)*VLOOKUP(D1302,'报价表-配送'!$B$16:$I$21,5,0)</f>
        <v>0</v>
      </c>
      <c r="M1302" s="39">
        <f>IF(AND(MOD(H1302,30)&lt;1.5,MOD(H1302,30)&gt;=0.5),H1302,0)*VLOOKUP(D1302,'报价表-配送'!$B$16:$I$21,4,0)*1000+IF(AND(MOD(H1302,30)&lt;0.5,MOD(H1302,30)&gt;=0.02),H1302,0)*VLOOKUP(D1302,'报价表-配送'!$B$16:$I$21,3,0)*1000+IF(AND(MOD(H1302,30)&lt;0.02),H1302,0)*VLOOKUP(D1302,'报价表-配送'!$B$16:$I$21,2,0)*1000</f>
        <v>0</v>
      </c>
      <c r="N1302" s="38">
        <f t="shared" si="19"/>
        <v>0</v>
      </c>
    </row>
    <row r="1303" spans="1:14" x14ac:dyDescent="0.25">
      <c r="A1303" t="s">
        <v>82</v>
      </c>
      <c r="B1303" s="43" t="s">
        <v>148</v>
      </c>
      <c r="C1303" s="62">
        <f>VLOOKUP(B1303,合并仓明细!$D$2:$F$74,3,0)</f>
        <v>452</v>
      </c>
      <c r="D1303" s="44" t="s">
        <v>25</v>
      </c>
      <c r="E1303" s="43" t="s">
        <v>273</v>
      </c>
      <c r="F1303" t="s">
        <v>66</v>
      </c>
      <c r="G1303" s="42">
        <v>12.700000000000001</v>
      </c>
      <c r="H1303">
        <v>1.2700000000000001E-2</v>
      </c>
      <c r="K1303" s="1"/>
      <c r="L1303" s="37">
        <f>IF(H1303&gt;30,QUOTIENT(H1303,30)*VLOOKUP(D1303,'报价表-配送'!$B$16:$I$21,8,0),0)+IF(AND(MOD(H1303,30)&gt;18,MOD(H1303,30)&lt;=30),1,0)*VLOOKUP(D1303,'报价表-配送'!$B$16:$I$21,8,0)+IF(AND(MOD(H1303,30)&gt;8,MOD(H1303,30)&lt;=18),1*VLOOKUP(D1303,'报价表-配送'!$B$16:$I$21,7,0),0)+IF(AND(MOD(H1303,30)&lt;=8,MOD(H1303,30)&gt;2.5),1,0)*VLOOKUP(D1303,'报价表-配送'!$B$16:$I$21,6,0)+IF(AND(MOD(H1303,30)&lt;=2.5,MOD(H1303,30)&gt;=1.5),1,0)*VLOOKUP(D1303,'报价表-配送'!$B$16:$I$21,5,0)</f>
        <v>0</v>
      </c>
      <c r="M1303" s="39">
        <f>IF(AND(MOD(H1303,30)&lt;1.5,MOD(H1303,30)&gt;=0.5),H1303,0)*VLOOKUP(D1303,'报价表-配送'!$B$16:$I$21,4,0)*1000+IF(AND(MOD(H1303,30)&lt;0.5,MOD(H1303,30)&gt;=0.02),H1303,0)*VLOOKUP(D1303,'报价表-配送'!$B$16:$I$21,3,0)*1000+IF(AND(MOD(H1303,30)&lt;0.02),H1303,0)*VLOOKUP(D1303,'报价表-配送'!$B$16:$I$21,2,0)*1000</f>
        <v>0</v>
      </c>
      <c r="N1303" s="38">
        <f t="shared" si="19"/>
        <v>0</v>
      </c>
    </row>
    <row r="1304" spans="1:14" x14ac:dyDescent="0.25">
      <c r="A1304" t="s">
        <v>82</v>
      </c>
      <c r="B1304" s="43" t="s">
        <v>148</v>
      </c>
      <c r="C1304" s="62">
        <f>VLOOKUP(B1304,合并仓明细!$D$2:$F$74,3,0)</f>
        <v>452</v>
      </c>
      <c r="D1304" s="44" t="s">
        <v>25</v>
      </c>
      <c r="E1304" s="43" t="s">
        <v>274</v>
      </c>
      <c r="F1304" t="s">
        <v>66</v>
      </c>
      <c r="G1304" s="42">
        <v>87.289999999999992</v>
      </c>
      <c r="H1304">
        <v>8.7289999999999993E-2</v>
      </c>
      <c r="K1304" s="1"/>
      <c r="L1304" s="37">
        <f>IF(H1304&gt;30,QUOTIENT(H1304,30)*VLOOKUP(D1304,'报价表-配送'!$B$16:$I$21,8,0),0)+IF(AND(MOD(H1304,30)&gt;18,MOD(H1304,30)&lt;=30),1,0)*VLOOKUP(D1304,'报价表-配送'!$B$16:$I$21,8,0)+IF(AND(MOD(H1304,30)&gt;8,MOD(H1304,30)&lt;=18),1*VLOOKUP(D1304,'报价表-配送'!$B$16:$I$21,7,0),0)+IF(AND(MOD(H1304,30)&lt;=8,MOD(H1304,30)&gt;2.5),1,0)*VLOOKUP(D1304,'报价表-配送'!$B$16:$I$21,6,0)+IF(AND(MOD(H1304,30)&lt;=2.5,MOD(H1304,30)&gt;=1.5),1,0)*VLOOKUP(D1304,'报价表-配送'!$B$16:$I$21,5,0)</f>
        <v>0</v>
      </c>
      <c r="M1304" s="39">
        <f>IF(AND(MOD(H1304,30)&lt;1.5,MOD(H1304,30)&gt;=0.5),H1304,0)*VLOOKUP(D1304,'报价表-配送'!$B$16:$I$21,4,0)*1000+IF(AND(MOD(H1304,30)&lt;0.5,MOD(H1304,30)&gt;=0.02),H1304,0)*VLOOKUP(D1304,'报价表-配送'!$B$16:$I$21,3,0)*1000+IF(AND(MOD(H1304,30)&lt;0.02),H1304,0)*VLOOKUP(D1304,'报价表-配送'!$B$16:$I$21,2,0)*1000</f>
        <v>0</v>
      </c>
      <c r="N1304" s="38">
        <f t="shared" si="19"/>
        <v>0</v>
      </c>
    </row>
    <row r="1305" spans="1:14" x14ac:dyDescent="0.25">
      <c r="A1305" t="s">
        <v>82</v>
      </c>
      <c r="B1305" s="43" t="s">
        <v>148</v>
      </c>
      <c r="C1305" s="62">
        <f>VLOOKUP(B1305,合并仓明细!$D$2:$F$74,3,0)</f>
        <v>452</v>
      </c>
      <c r="D1305" s="44" t="s">
        <v>25</v>
      </c>
      <c r="E1305" s="43" t="s">
        <v>351</v>
      </c>
      <c r="F1305" t="s">
        <v>66</v>
      </c>
      <c r="G1305" s="42">
        <v>5.26</v>
      </c>
      <c r="H1305">
        <v>5.2599999999999999E-3</v>
      </c>
      <c r="K1305" s="1"/>
      <c r="L1305" s="37">
        <f>IF(H1305&gt;30,QUOTIENT(H1305,30)*VLOOKUP(D1305,'报价表-配送'!$B$16:$I$21,8,0),0)+IF(AND(MOD(H1305,30)&gt;18,MOD(H1305,30)&lt;=30),1,0)*VLOOKUP(D1305,'报价表-配送'!$B$16:$I$21,8,0)+IF(AND(MOD(H1305,30)&gt;8,MOD(H1305,30)&lt;=18),1*VLOOKUP(D1305,'报价表-配送'!$B$16:$I$21,7,0),0)+IF(AND(MOD(H1305,30)&lt;=8,MOD(H1305,30)&gt;2.5),1,0)*VLOOKUP(D1305,'报价表-配送'!$B$16:$I$21,6,0)+IF(AND(MOD(H1305,30)&lt;=2.5,MOD(H1305,30)&gt;=1.5),1,0)*VLOOKUP(D1305,'报价表-配送'!$B$16:$I$21,5,0)</f>
        <v>0</v>
      </c>
      <c r="M1305" s="39">
        <f>IF(AND(MOD(H1305,30)&lt;1.5,MOD(H1305,30)&gt;=0.5),H1305,0)*VLOOKUP(D1305,'报价表-配送'!$B$16:$I$21,4,0)*1000+IF(AND(MOD(H1305,30)&lt;0.5,MOD(H1305,30)&gt;=0.02),H1305,0)*VLOOKUP(D1305,'报价表-配送'!$B$16:$I$21,3,0)*1000+IF(AND(MOD(H1305,30)&lt;0.02),H1305,0)*VLOOKUP(D1305,'报价表-配送'!$B$16:$I$21,2,0)*1000</f>
        <v>0</v>
      </c>
      <c r="N1305" s="38">
        <f t="shared" si="19"/>
        <v>0</v>
      </c>
    </row>
    <row r="1306" spans="1:14" x14ac:dyDescent="0.25">
      <c r="A1306" t="s">
        <v>82</v>
      </c>
      <c r="B1306" s="43" t="s">
        <v>148</v>
      </c>
      <c r="C1306" s="62">
        <f>VLOOKUP(B1306,合并仓明细!$D$2:$F$74,3,0)</f>
        <v>452</v>
      </c>
      <c r="D1306" s="44" t="s">
        <v>25</v>
      </c>
      <c r="E1306" s="43" t="s">
        <v>275</v>
      </c>
      <c r="F1306" t="s">
        <v>66</v>
      </c>
      <c r="G1306" s="42">
        <v>12.499999999999998</v>
      </c>
      <c r="H1306">
        <v>1.2499999999999999E-2</v>
      </c>
      <c r="K1306" s="1"/>
      <c r="L1306" s="37">
        <f>IF(H1306&gt;30,QUOTIENT(H1306,30)*VLOOKUP(D1306,'报价表-配送'!$B$16:$I$21,8,0),0)+IF(AND(MOD(H1306,30)&gt;18,MOD(H1306,30)&lt;=30),1,0)*VLOOKUP(D1306,'报价表-配送'!$B$16:$I$21,8,0)+IF(AND(MOD(H1306,30)&gt;8,MOD(H1306,30)&lt;=18),1*VLOOKUP(D1306,'报价表-配送'!$B$16:$I$21,7,0),0)+IF(AND(MOD(H1306,30)&lt;=8,MOD(H1306,30)&gt;2.5),1,0)*VLOOKUP(D1306,'报价表-配送'!$B$16:$I$21,6,0)+IF(AND(MOD(H1306,30)&lt;=2.5,MOD(H1306,30)&gt;=1.5),1,0)*VLOOKUP(D1306,'报价表-配送'!$B$16:$I$21,5,0)</f>
        <v>0</v>
      </c>
      <c r="M1306" s="39">
        <f>IF(AND(MOD(H1306,30)&lt;1.5,MOD(H1306,30)&gt;=0.5),H1306,0)*VLOOKUP(D1306,'报价表-配送'!$B$16:$I$21,4,0)*1000+IF(AND(MOD(H1306,30)&lt;0.5,MOD(H1306,30)&gt;=0.02),H1306,0)*VLOOKUP(D1306,'报价表-配送'!$B$16:$I$21,3,0)*1000+IF(AND(MOD(H1306,30)&lt;0.02),H1306,0)*VLOOKUP(D1306,'报价表-配送'!$B$16:$I$21,2,0)*1000</f>
        <v>0</v>
      </c>
      <c r="N1306" s="38">
        <f t="shared" si="19"/>
        <v>0</v>
      </c>
    </row>
    <row r="1307" spans="1:14" x14ac:dyDescent="0.25">
      <c r="A1307" t="s">
        <v>82</v>
      </c>
      <c r="B1307" s="43" t="s">
        <v>148</v>
      </c>
      <c r="C1307" s="62">
        <f>VLOOKUP(B1307,合并仓明细!$D$2:$F$74,3,0)</f>
        <v>452</v>
      </c>
      <c r="D1307" s="44" t="s">
        <v>25</v>
      </c>
      <c r="E1307" s="43" t="s">
        <v>346</v>
      </c>
      <c r="F1307" t="s">
        <v>66</v>
      </c>
      <c r="G1307" s="42">
        <v>32.33</v>
      </c>
      <c r="H1307">
        <v>3.2329999999999998E-2</v>
      </c>
      <c r="K1307" s="1"/>
      <c r="L1307" s="37">
        <f>IF(H1307&gt;30,QUOTIENT(H1307,30)*VLOOKUP(D1307,'报价表-配送'!$B$16:$I$21,8,0),0)+IF(AND(MOD(H1307,30)&gt;18,MOD(H1307,30)&lt;=30),1,0)*VLOOKUP(D1307,'报价表-配送'!$B$16:$I$21,8,0)+IF(AND(MOD(H1307,30)&gt;8,MOD(H1307,30)&lt;=18),1*VLOOKUP(D1307,'报价表-配送'!$B$16:$I$21,7,0),0)+IF(AND(MOD(H1307,30)&lt;=8,MOD(H1307,30)&gt;2.5),1,0)*VLOOKUP(D1307,'报价表-配送'!$B$16:$I$21,6,0)+IF(AND(MOD(H1307,30)&lt;=2.5,MOD(H1307,30)&gt;=1.5),1,0)*VLOOKUP(D1307,'报价表-配送'!$B$16:$I$21,5,0)</f>
        <v>0</v>
      </c>
      <c r="M1307" s="39">
        <f>IF(AND(MOD(H1307,30)&lt;1.5,MOD(H1307,30)&gt;=0.5),H1307,0)*VLOOKUP(D1307,'报价表-配送'!$B$16:$I$21,4,0)*1000+IF(AND(MOD(H1307,30)&lt;0.5,MOD(H1307,30)&gt;=0.02),H1307,0)*VLOOKUP(D1307,'报价表-配送'!$B$16:$I$21,3,0)*1000+IF(AND(MOD(H1307,30)&lt;0.02),H1307,0)*VLOOKUP(D1307,'报价表-配送'!$B$16:$I$21,2,0)*1000</f>
        <v>0</v>
      </c>
      <c r="N1307" s="38">
        <f t="shared" si="19"/>
        <v>0</v>
      </c>
    </row>
    <row r="1308" spans="1:14" x14ac:dyDescent="0.25">
      <c r="A1308" t="s">
        <v>82</v>
      </c>
      <c r="B1308" s="43" t="s">
        <v>148</v>
      </c>
      <c r="C1308" s="62">
        <f>VLOOKUP(B1308,合并仓明细!$D$2:$F$74,3,0)</f>
        <v>452</v>
      </c>
      <c r="D1308" s="44" t="s">
        <v>25</v>
      </c>
      <c r="E1308" s="43" t="s">
        <v>276</v>
      </c>
      <c r="F1308" t="s">
        <v>66</v>
      </c>
      <c r="G1308" s="42">
        <v>3.6</v>
      </c>
      <c r="H1308">
        <v>3.5999999999999999E-3</v>
      </c>
      <c r="K1308" s="1"/>
      <c r="L1308" s="37">
        <f>IF(H1308&gt;30,QUOTIENT(H1308,30)*VLOOKUP(D1308,'报价表-配送'!$B$16:$I$21,8,0),0)+IF(AND(MOD(H1308,30)&gt;18,MOD(H1308,30)&lt;=30),1,0)*VLOOKUP(D1308,'报价表-配送'!$B$16:$I$21,8,0)+IF(AND(MOD(H1308,30)&gt;8,MOD(H1308,30)&lt;=18),1*VLOOKUP(D1308,'报价表-配送'!$B$16:$I$21,7,0),0)+IF(AND(MOD(H1308,30)&lt;=8,MOD(H1308,30)&gt;2.5),1,0)*VLOOKUP(D1308,'报价表-配送'!$B$16:$I$21,6,0)+IF(AND(MOD(H1308,30)&lt;=2.5,MOD(H1308,30)&gt;=1.5),1,0)*VLOOKUP(D1308,'报价表-配送'!$B$16:$I$21,5,0)</f>
        <v>0</v>
      </c>
      <c r="M1308" s="39">
        <f>IF(AND(MOD(H1308,30)&lt;1.5,MOD(H1308,30)&gt;=0.5),H1308,0)*VLOOKUP(D1308,'报价表-配送'!$B$16:$I$21,4,0)*1000+IF(AND(MOD(H1308,30)&lt;0.5,MOD(H1308,30)&gt;=0.02),H1308,0)*VLOOKUP(D1308,'报价表-配送'!$B$16:$I$21,3,0)*1000+IF(AND(MOD(H1308,30)&lt;0.02),H1308,0)*VLOOKUP(D1308,'报价表-配送'!$B$16:$I$21,2,0)*1000</f>
        <v>0</v>
      </c>
      <c r="N1308" s="38">
        <f t="shared" si="19"/>
        <v>0</v>
      </c>
    </row>
    <row r="1309" spans="1:14" x14ac:dyDescent="0.25">
      <c r="A1309" t="s">
        <v>82</v>
      </c>
      <c r="B1309" s="43" t="s">
        <v>148</v>
      </c>
      <c r="C1309" s="62">
        <f>VLOOKUP(B1309,合并仓明细!$D$2:$F$74,3,0)</f>
        <v>452</v>
      </c>
      <c r="D1309" s="44" t="s">
        <v>25</v>
      </c>
      <c r="E1309" s="43" t="s">
        <v>310</v>
      </c>
      <c r="F1309" t="s">
        <v>66</v>
      </c>
      <c r="G1309" s="42">
        <v>29.78</v>
      </c>
      <c r="H1309">
        <v>2.9780000000000001E-2</v>
      </c>
      <c r="K1309" s="1"/>
      <c r="L1309" s="37">
        <f>IF(H1309&gt;30,QUOTIENT(H1309,30)*VLOOKUP(D1309,'报价表-配送'!$B$16:$I$21,8,0),0)+IF(AND(MOD(H1309,30)&gt;18,MOD(H1309,30)&lt;=30),1,0)*VLOOKUP(D1309,'报价表-配送'!$B$16:$I$21,8,0)+IF(AND(MOD(H1309,30)&gt;8,MOD(H1309,30)&lt;=18),1*VLOOKUP(D1309,'报价表-配送'!$B$16:$I$21,7,0),0)+IF(AND(MOD(H1309,30)&lt;=8,MOD(H1309,30)&gt;2.5),1,0)*VLOOKUP(D1309,'报价表-配送'!$B$16:$I$21,6,0)+IF(AND(MOD(H1309,30)&lt;=2.5,MOD(H1309,30)&gt;=1.5),1,0)*VLOOKUP(D1309,'报价表-配送'!$B$16:$I$21,5,0)</f>
        <v>0</v>
      </c>
      <c r="M1309" s="39">
        <f>IF(AND(MOD(H1309,30)&lt;1.5,MOD(H1309,30)&gt;=0.5),H1309,0)*VLOOKUP(D1309,'报价表-配送'!$B$16:$I$21,4,0)*1000+IF(AND(MOD(H1309,30)&lt;0.5,MOD(H1309,30)&gt;=0.02),H1309,0)*VLOOKUP(D1309,'报价表-配送'!$B$16:$I$21,3,0)*1000+IF(AND(MOD(H1309,30)&lt;0.02),H1309,0)*VLOOKUP(D1309,'报价表-配送'!$B$16:$I$21,2,0)*1000</f>
        <v>0</v>
      </c>
      <c r="N1309" s="38">
        <f t="shared" si="19"/>
        <v>0</v>
      </c>
    </row>
    <row r="1310" spans="1:14" x14ac:dyDescent="0.25">
      <c r="A1310" t="s">
        <v>82</v>
      </c>
      <c r="B1310" s="43" t="s">
        <v>148</v>
      </c>
      <c r="C1310" s="62">
        <f>VLOOKUP(B1310,合并仓明细!$D$2:$F$74,3,0)</f>
        <v>452</v>
      </c>
      <c r="D1310" s="44" t="s">
        <v>25</v>
      </c>
      <c r="E1310" s="43" t="s">
        <v>337</v>
      </c>
      <c r="F1310" t="s">
        <v>66</v>
      </c>
      <c r="G1310" s="42">
        <v>44.519999999999996</v>
      </c>
      <c r="H1310">
        <v>4.4519999999999997E-2</v>
      </c>
      <c r="K1310" s="1"/>
      <c r="L1310" s="37">
        <f>IF(H1310&gt;30,QUOTIENT(H1310,30)*VLOOKUP(D1310,'报价表-配送'!$B$16:$I$21,8,0),0)+IF(AND(MOD(H1310,30)&gt;18,MOD(H1310,30)&lt;=30),1,0)*VLOOKUP(D1310,'报价表-配送'!$B$16:$I$21,8,0)+IF(AND(MOD(H1310,30)&gt;8,MOD(H1310,30)&lt;=18),1*VLOOKUP(D1310,'报价表-配送'!$B$16:$I$21,7,0),0)+IF(AND(MOD(H1310,30)&lt;=8,MOD(H1310,30)&gt;2.5),1,0)*VLOOKUP(D1310,'报价表-配送'!$B$16:$I$21,6,0)+IF(AND(MOD(H1310,30)&lt;=2.5,MOD(H1310,30)&gt;=1.5),1,0)*VLOOKUP(D1310,'报价表-配送'!$B$16:$I$21,5,0)</f>
        <v>0</v>
      </c>
      <c r="M1310" s="39">
        <f>IF(AND(MOD(H1310,30)&lt;1.5,MOD(H1310,30)&gt;=0.5),H1310,0)*VLOOKUP(D1310,'报价表-配送'!$B$16:$I$21,4,0)*1000+IF(AND(MOD(H1310,30)&lt;0.5,MOD(H1310,30)&gt;=0.02),H1310,0)*VLOOKUP(D1310,'报价表-配送'!$B$16:$I$21,3,0)*1000+IF(AND(MOD(H1310,30)&lt;0.02),H1310,0)*VLOOKUP(D1310,'报价表-配送'!$B$16:$I$21,2,0)*1000</f>
        <v>0</v>
      </c>
      <c r="N1310" s="38">
        <f t="shared" si="19"/>
        <v>0</v>
      </c>
    </row>
    <row r="1311" spans="1:14" x14ac:dyDescent="0.25">
      <c r="A1311" t="s">
        <v>82</v>
      </c>
      <c r="B1311" s="43" t="s">
        <v>148</v>
      </c>
      <c r="C1311" s="62">
        <f>VLOOKUP(B1311,合并仓明细!$D$2:$F$74,3,0)</f>
        <v>452</v>
      </c>
      <c r="D1311" s="44" t="s">
        <v>25</v>
      </c>
      <c r="E1311" s="43" t="s">
        <v>277</v>
      </c>
      <c r="F1311" t="s">
        <v>66</v>
      </c>
      <c r="G1311" s="42">
        <v>14.11</v>
      </c>
      <c r="H1311">
        <v>1.4109999999999999E-2</v>
      </c>
      <c r="K1311" s="1"/>
      <c r="L1311" s="37">
        <f>IF(H1311&gt;30,QUOTIENT(H1311,30)*VLOOKUP(D1311,'报价表-配送'!$B$16:$I$21,8,0),0)+IF(AND(MOD(H1311,30)&gt;18,MOD(H1311,30)&lt;=30),1,0)*VLOOKUP(D1311,'报价表-配送'!$B$16:$I$21,8,0)+IF(AND(MOD(H1311,30)&gt;8,MOD(H1311,30)&lt;=18),1*VLOOKUP(D1311,'报价表-配送'!$B$16:$I$21,7,0),0)+IF(AND(MOD(H1311,30)&lt;=8,MOD(H1311,30)&gt;2.5),1,0)*VLOOKUP(D1311,'报价表-配送'!$B$16:$I$21,6,0)+IF(AND(MOD(H1311,30)&lt;=2.5,MOD(H1311,30)&gt;=1.5),1,0)*VLOOKUP(D1311,'报价表-配送'!$B$16:$I$21,5,0)</f>
        <v>0</v>
      </c>
      <c r="M1311" s="39">
        <f>IF(AND(MOD(H1311,30)&lt;1.5,MOD(H1311,30)&gt;=0.5),H1311,0)*VLOOKUP(D1311,'报价表-配送'!$B$16:$I$21,4,0)*1000+IF(AND(MOD(H1311,30)&lt;0.5,MOD(H1311,30)&gt;=0.02),H1311,0)*VLOOKUP(D1311,'报价表-配送'!$B$16:$I$21,3,0)*1000+IF(AND(MOD(H1311,30)&lt;0.02),H1311,0)*VLOOKUP(D1311,'报价表-配送'!$B$16:$I$21,2,0)*1000</f>
        <v>0</v>
      </c>
      <c r="N1311" s="38">
        <f t="shared" si="19"/>
        <v>0</v>
      </c>
    </row>
    <row r="1312" spans="1:14" x14ac:dyDescent="0.25">
      <c r="A1312" t="s">
        <v>82</v>
      </c>
      <c r="B1312" s="43" t="s">
        <v>148</v>
      </c>
      <c r="C1312" s="62">
        <f>VLOOKUP(B1312,合并仓明细!$D$2:$F$74,3,0)</f>
        <v>452</v>
      </c>
      <c r="D1312" s="44" t="s">
        <v>25</v>
      </c>
      <c r="E1312" s="43" t="s">
        <v>278</v>
      </c>
      <c r="F1312" t="s">
        <v>66</v>
      </c>
      <c r="G1312" s="42">
        <v>1.64</v>
      </c>
      <c r="H1312">
        <v>1.64E-3</v>
      </c>
      <c r="K1312" s="1"/>
      <c r="L1312" s="37">
        <f>IF(H1312&gt;30,QUOTIENT(H1312,30)*VLOOKUP(D1312,'报价表-配送'!$B$16:$I$21,8,0),0)+IF(AND(MOD(H1312,30)&gt;18,MOD(H1312,30)&lt;=30),1,0)*VLOOKUP(D1312,'报价表-配送'!$B$16:$I$21,8,0)+IF(AND(MOD(H1312,30)&gt;8,MOD(H1312,30)&lt;=18),1*VLOOKUP(D1312,'报价表-配送'!$B$16:$I$21,7,0),0)+IF(AND(MOD(H1312,30)&lt;=8,MOD(H1312,30)&gt;2.5),1,0)*VLOOKUP(D1312,'报价表-配送'!$B$16:$I$21,6,0)+IF(AND(MOD(H1312,30)&lt;=2.5,MOD(H1312,30)&gt;=1.5),1,0)*VLOOKUP(D1312,'报价表-配送'!$B$16:$I$21,5,0)</f>
        <v>0</v>
      </c>
      <c r="M1312" s="39">
        <f>IF(AND(MOD(H1312,30)&lt;1.5,MOD(H1312,30)&gt;=0.5),H1312,0)*VLOOKUP(D1312,'报价表-配送'!$B$16:$I$21,4,0)*1000+IF(AND(MOD(H1312,30)&lt;0.5,MOD(H1312,30)&gt;=0.02),H1312,0)*VLOOKUP(D1312,'报价表-配送'!$B$16:$I$21,3,0)*1000+IF(AND(MOD(H1312,30)&lt;0.02),H1312,0)*VLOOKUP(D1312,'报价表-配送'!$B$16:$I$21,2,0)*1000</f>
        <v>0</v>
      </c>
      <c r="N1312" s="38">
        <f t="shared" ref="N1312:N1375" si="20">SUM(I1312:M1312)</f>
        <v>0</v>
      </c>
    </row>
    <row r="1313" spans="1:14" x14ac:dyDescent="0.25">
      <c r="A1313" t="s">
        <v>82</v>
      </c>
      <c r="B1313" s="43" t="s">
        <v>148</v>
      </c>
      <c r="C1313" s="62">
        <f>VLOOKUP(B1313,合并仓明细!$D$2:$F$74,3,0)</f>
        <v>452</v>
      </c>
      <c r="D1313" s="44" t="s">
        <v>25</v>
      </c>
      <c r="E1313" s="43" t="s">
        <v>347</v>
      </c>
      <c r="F1313" t="s">
        <v>66</v>
      </c>
      <c r="G1313" s="42">
        <v>15.48</v>
      </c>
      <c r="H1313">
        <v>1.5480000000000001E-2</v>
      </c>
      <c r="K1313" s="1"/>
      <c r="L1313" s="37">
        <f>IF(H1313&gt;30,QUOTIENT(H1313,30)*VLOOKUP(D1313,'报价表-配送'!$B$16:$I$21,8,0),0)+IF(AND(MOD(H1313,30)&gt;18,MOD(H1313,30)&lt;=30),1,0)*VLOOKUP(D1313,'报价表-配送'!$B$16:$I$21,8,0)+IF(AND(MOD(H1313,30)&gt;8,MOD(H1313,30)&lt;=18),1*VLOOKUP(D1313,'报价表-配送'!$B$16:$I$21,7,0),0)+IF(AND(MOD(H1313,30)&lt;=8,MOD(H1313,30)&gt;2.5),1,0)*VLOOKUP(D1313,'报价表-配送'!$B$16:$I$21,6,0)+IF(AND(MOD(H1313,30)&lt;=2.5,MOD(H1313,30)&gt;=1.5),1,0)*VLOOKUP(D1313,'报价表-配送'!$B$16:$I$21,5,0)</f>
        <v>0</v>
      </c>
      <c r="M1313" s="39">
        <f>IF(AND(MOD(H1313,30)&lt;1.5,MOD(H1313,30)&gt;=0.5),H1313,0)*VLOOKUP(D1313,'报价表-配送'!$B$16:$I$21,4,0)*1000+IF(AND(MOD(H1313,30)&lt;0.5,MOD(H1313,30)&gt;=0.02),H1313,0)*VLOOKUP(D1313,'报价表-配送'!$B$16:$I$21,3,0)*1000+IF(AND(MOD(H1313,30)&lt;0.02),H1313,0)*VLOOKUP(D1313,'报价表-配送'!$B$16:$I$21,2,0)*1000</f>
        <v>0</v>
      </c>
      <c r="N1313" s="38">
        <f t="shared" si="20"/>
        <v>0</v>
      </c>
    </row>
    <row r="1314" spans="1:14" x14ac:dyDescent="0.25">
      <c r="A1314" t="s">
        <v>82</v>
      </c>
      <c r="B1314" s="43" t="s">
        <v>148</v>
      </c>
      <c r="C1314" s="62">
        <f>VLOOKUP(B1314,合并仓明细!$D$2:$F$74,3,0)</f>
        <v>452</v>
      </c>
      <c r="D1314" s="44" t="s">
        <v>25</v>
      </c>
      <c r="E1314" s="43" t="s">
        <v>371</v>
      </c>
      <c r="F1314" t="s">
        <v>66</v>
      </c>
      <c r="G1314" s="42">
        <v>12.21</v>
      </c>
      <c r="H1314">
        <v>1.221E-2</v>
      </c>
      <c r="K1314" s="1"/>
      <c r="L1314" s="37">
        <f>IF(H1314&gt;30,QUOTIENT(H1314,30)*VLOOKUP(D1314,'报价表-配送'!$B$16:$I$21,8,0),0)+IF(AND(MOD(H1314,30)&gt;18,MOD(H1314,30)&lt;=30),1,0)*VLOOKUP(D1314,'报价表-配送'!$B$16:$I$21,8,0)+IF(AND(MOD(H1314,30)&gt;8,MOD(H1314,30)&lt;=18),1*VLOOKUP(D1314,'报价表-配送'!$B$16:$I$21,7,0),0)+IF(AND(MOD(H1314,30)&lt;=8,MOD(H1314,30)&gt;2.5),1,0)*VLOOKUP(D1314,'报价表-配送'!$B$16:$I$21,6,0)+IF(AND(MOD(H1314,30)&lt;=2.5,MOD(H1314,30)&gt;=1.5),1,0)*VLOOKUP(D1314,'报价表-配送'!$B$16:$I$21,5,0)</f>
        <v>0</v>
      </c>
      <c r="M1314" s="39">
        <f>IF(AND(MOD(H1314,30)&lt;1.5,MOD(H1314,30)&gt;=0.5),H1314,0)*VLOOKUP(D1314,'报价表-配送'!$B$16:$I$21,4,0)*1000+IF(AND(MOD(H1314,30)&lt;0.5,MOD(H1314,30)&gt;=0.02),H1314,0)*VLOOKUP(D1314,'报价表-配送'!$B$16:$I$21,3,0)*1000+IF(AND(MOD(H1314,30)&lt;0.02),H1314,0)*VLOOKUP(D1314,'报价表-配送'!$B$16:$I$21,2,0)*1000</f>
        <v>0</v>
      </c>
      <c r="N1314" s="38">
        <f t="shared" si="20"/>
        <v>0</v>
      </c>
    </row>
    <row r="1315" spans="1:14" x14ac:dyDescent="0.25">
      <c r="A1315" t="s">
        <v>82</v>
      </c>
      <c r="B1315" s="43" t="s">
        <v>148</v>
      </c>
      <c r="C1315" s="62">
        <f>VLOOKUP(B1315,合并仓明细!$D$2:$F$74,3,0)</f>
        <v>452</v>
      </c>
      <c r="D1315" s="44" t="s">
        <v>25</v>
      </c>
      <c r="E1315" s="43" t="s">
        <v>352</v>
      </c>
      <c r="F1315" t="s">
        <v>66</v>
      </c>
      <c r="G1315" s="42">
        <v>8.1</v>
      </c>
      <c r="H1315">
        <v>8.0999999999999996E-3</v>
      </c>
      <c r="K1315" s="1"/>
      <c r="L1315" s="37">
        <f>IF(H1315&gt;30,QUOTIENT(H1315,30)*VLOOKUP(D1315,'报价表-配送'!$B$16:$I$21,8,0),0)+IF(AND(MOD(H1315,30)&gt;18,MOD(H1315,30)&lt;=30),1,0)*VLOOKUP(D1315,'报价表-配送'!$B$16:$I$21,8,0)+IF(AND(MOD(H1315,30)&gt;8,MOD(H1315,30)&lt;=18),1*VLOOKUP(D1315,'报价表-配送'!$B$16:$I$21,7,0),0)+IF(AND(MOD(H1315,30)&lt;=8,MOD(H1315,30)&gt;2.5),1,0)*VLOOKUP(D1315,'报价表-配送'!$B$16:$I$21,6,0)+IF(AND(MOD(H1315,30)&lt;=2.5,MOD(H1315,30)&gt;=1.5),1,0)*VLOOKUP(D1315,'报价表-配送'!$B$16:$I$21,5,0)</f>
        <v>0</v>
      </c>
      <c r="M1315" s="39">
        <f>IF(AND(MOD(H1315,30)&lt;1.5,MOD(H1315,30)&gt;=0.5),H1315,0)*VLOOKUP(D1315,'报价表-配送'!$B$16:$I$21,4,0)*1000+IF(AND(MOD(H1315,30)&lt;0.5,MOD(H1315,30)&gt;=0.02),H1315,0)*VLOOKUP(D1315,'报价表-配送'!$B$16:$I$21,3,0)*1000+IF(AND(MOD(H1315,30)&lt;0.02),H1315,0)*VLOOKUP(D1315,'报价表-配送'!$B$16:$I$21,2,0)*1000</f>
        <v>0</v>
      </c>
      <c r="N1315" s="38">
        <f t="shared" si="20"/>
        <v>0</v>
      </c>
    </row>
    <row r="1316" spans="1:14" x14ac:dyDescent="0.25">
      <c r="A1316" t="s">
        <v>82</v>
      </c>
      <c r="B1316" s="43" t="s">
        <v>148</v>
      </c>
      <c r="C1316" s="62">
        <f>VLOOKUP(B1316,合并仓明细!$D$2:$F$74,3,0)</f>
        <v>452</v>
      </c>
      <c r="D1316" s="44" t="s">
        <v>25</v>
      </c>
      <c r="E1316" s="43" t="s">
        <v>280</v>
      </c>
      <c r="F1316" t="s">
        <v>66</v>
      </c>
      <c r="G1316" s="42">
        <v>25.5</v>
      </c>
      <c r="H1316">
        <v>2.5499999999999998E-2</v>
      </c>
      <c r="K1316" s="1"/>
      <c r="L1316" s="37">
        <f>IF(H1316&gt;30,QUOTIENT(H1316,30)*VLOOKUP(D1316,'报价表-配送'!$B$16:$I$21,8,0),0)+IF(AND(MOD(H1316,30)&gt;18,MOD(H1316,30)&lt;=30),1,0)*VLOOKUP(D1316,'报价表-配送'!$B$16:$I$21,8,0)+IF(AND(MOD(H1316,30)&gt;8,MOD(H1316,30)&lt;=18),1*VLOOKUP(D1316,'报价表-配送'!$B$16:$I$21,7,0),0)+IF(AND(MOD(H1316,30)&lt;=8,MOD(H1316,30)&gt;2.5),1,0)*VLOOKUP(D1316,'报价表-配送'!$B$16:$I$21,6,0)+IF(AND(MOD(H1316,30)&lt;=2.5,MOD(H1316,30)&gt;=1.5),1,0)*VLOOKUP(D1316,'报价表-配送'!$B$16:$I$21,5,0)</f>
        <v>0</v>
      </c>
      <c r="M1316" s="39">
        <f>IF(AND(MOD(H1316,30)&lt;1.5,MOD(H1316,30)&gt;=0.5),H1316,0)*VLOOKUP(D1316,'报价表-配送'!$B$16:$I$21,4,0)*1000+IF(AND(MOD(H1316,30)&lt;0.5,MOD(H1316,30)&gt;=0.02),H1316,0)*VLOOKUP(D1316,'报价表-配送'!$B$16:$I$21,3,0)*1000+IF(AND(MOD(H1316,30)&lt;0.02),H1316,0)*VLOOKUP(D1316,'报价表-配送'!$B$16:$I$21,2,0)*1000</f>
        <v>0</v>
      </c>
      <c r="N1316" s="38">
        <f t="shared" si="20"/>
        <v>0</v>
      </c>
    </row>
    <row r="1317" spans="1:14" x14ac:dyDescent="0.25">
      <c r="A1317" t="s">
        <v>82</v>
      </c>
      <c r="B1317" s="43" t="s">
        <v>148</v>
      </c>
      <c r="C1317" s="62">
        <f>VLOOKUP(B1317,合并仓明细!$D$2:$F$74,3,0)</f>
        <v>452</v>
      </c>
      <c r="D1317" s="44" t="s">
        <v>25</v>
      </c>
      <c r="E1317" s="43" t="s">
        <v>313</v>
      </c>
      <c r="F1317" t="s">
        <v>66</v>
      </c>
      <c r="G1317" s="42">
        <v>40.139999999999993</v>
      </c>
      <c r="H1317">
        <v>4.0139999999999995E-2</v>
      </c>
      <c r="K1317" s="1"/>
      <c r="L1317" s="37">
        <f>IF(H1317&gt;30,QUOTIENT(H1317,30)*VLOOKUP(D1317,'报价表-配送'!$B$16:$I$21,8,0),0)+IF(AND(MOD(H1317,30)&gt;18,MOD(H1317,30)&lt;=30),1,0)*VLOOKUP(D1317,'报价表-配送'!$B$16:$I$21,8,0)+IF(AND(MOD(H1317,30)&gt;8,MOD(H1317,30)&lt;=18),1*VLOOKUP(D1317,'报价表-配送'!$B$16:$I$21,7,0),0)+IF(AND(MOD(H1317,30)&lt;=8,MOD(H1317,30)&gt;2.5),1,0)*VLOOKUP(D1317,'报价表-配送'!$B$16:$I$21,6,0)+IF(AND(MOD(H1317,30)&lt;=2.5,MOD(H1317,30)&gt;=1.5),1,0)*VLOOKUP(D1317,'报价表-配送'!$B$16:$I$21,5,0)</f>
        <v>0</v>
      </c>
      <c r="M1317" s="39">
        <f>IF(AND(MOD(H1317,30)&lt;1.5,MOD(H1317,30)&gt;=0.5),H1317,0)*VLOOKUP(D1317,'报价表-配送'!$B$16:$I$21,4,0)*1000+IF(AND(MOD(H1317,30)&lt;0.5,MOD(H1317,30)&gt;=0.02),H1317,0)*VLOOKUP(D1317,'报价表-配送'!$B$16:$I$21,3,0)*1000+IF(AND(MOD(H1317,30)&lt;0.02),H1317,0)*VLOOKUP(D1317,'报价表-配送'!$B$16:$I$21,2,0)*1000</f>
        <v>0</v>
      </c>
      <c r="N1317" s="38">
        <f t="shared" si="20"/>
        <v>0</v>
      </c>
    </row>
    <row r="1318" spans="1:14" x14ac:dyDescent="0.25">
      <c r="A1318" t="s">
        <v>82</v>
      </c>
      <c r="B1318" s="43" t="s">
        <v>148</v>
      </c>
      <c r="C1318" s="62">
        <f>VLOOKUP(B1318,合并仓明细!$D$2:$F$74,3,0)</f>
        <v>452</v>
      </c>
      <c r="D1318" s="44" t="s">
        <v>25</v>
      </c>
      <c r="E1318" s="43" t="s">
        <v>285</v>
      </c>
      <c r="F1318" t="s">
        <v>66</v>
      </c>
      <c r="G1318" s="42">
        <v>25.860000000000003</v>
      </c>
      <c r="H1318">
        <v>2.5860000000000005E-2</v>
      </c>
      <c r="K1318" s="1"/>
      <c r="L1318" s="37">
        <f>IF(H1318&gt;30,QUOTIENT(H1318,30)*VLOOKUP(D1318,'报价表-配送'!$B$16:$I$21,8,0),0)+IF(AND(MOD(H1318,30)&gt;18,MOD(H1318,30)&lt;=30),1,0)*VLOOKUP(D1318,'报价表-配送'!$B$16:$I$21,8,0)+IF(AND(MOD(H1318,30)&gt;8,MOD(H1318,30)&lt;=18),1*VLOOKUP(D1318,'报价表-配送'!$B$16:$I$21,7,0),0)+IF(AND(MOD(H1318,30)&lt;=8,MOD(H1318,30)&gt;2.5),1,0)*VLOOKUP(D1318,'报价表-配送'!$B$16:$I$21,6,0)+IF(AND(MOD(H1318,30)&lt;=2.5,MOD(H1318,30)&gt;=1.5),1,0)*VLOOKUP(D1318,'报价表-配送'!$B$16:$I$21,5,0)</f>
        <v>0</v>
      </c>
      <c r="M1318" s="39">
        <f>IF(AND(MOD(H1318,30)&lt;1.5,MOD(H1318,30)&gt;=0.5),H1318,0)*VLOOKUP(D1318,'报价表-配送'!$B$16:$I$21,4,0)*1000+IF(AND(MOD(H1318,30)&lt;0.5,MOD(H1318,30)&gt;=0.02),H1318,0)*VLOOKUP(D1318,'报价表-配送'!$B$16:$I$21,3,0)*1000+IF(AND(MOD(H1318,30)&lt;0.02),H1318,0)*VLOOKUP(D1318,'报价表-配送'!$B$16:$I$21,2,0)*1000</f>
        <v>0</v>
      </c>
      <c r="N1318" s="38">
        <f t="shared" si="20"/>
        <v>0</v>
      </c>
    </row>
    <row r="1319" spans="1:14" x14ac:dyDescent="0.25">
      <c r="A1319" t="s">
        <v>82</v>
      </c>
      <c r="B1319" s="43" t="s">
        <v>148</v>
      </c>
      <c r="C1319" s="62">
        <f>VLOOKUP(B1319,合并仓明细!$D$2:$F$74,3,0)</f>
        <v>452</v>
      </c>
      <c r="D1319" s="44" t="s">
        <v>25</v>
      </c>
      <c r="E1319" s="43" t="s">
        <v>329</v>
      </c>
      <c r="F1319" t="s">
        <v>66</v>
      </c>
      <c r="G1319" s="42">
        <v>18.36</v>
      </c>
      <c r="H1319">
        <v>1.8359999999999998E-2</v>
      </c>
      <c r="K1319" s="1"/>
      <c r="L1319" s="37">
        <f>IF(H1319&gt;30,QUOTIENT(H1319,30)*VLOOKUP(D1319,'报价表-配送'!$B$16:$I$21,8,0),0)+IF(AND(MOD(H1319,30)&gt;18,MOD(H1319,30)&lt;=30),1,0)*VLOOKUP(D1319,'报价表-配送'!$B$16:$I$21,8,0)+IF(AND(MOD(H1319,30)&gt;8,MOD(H1319,30)&lt;=18),1*VLOOKUP(D1319,'报价表-配送'!$B$16:$I$21,7,0),0)+IF(AND(MOD(H1319,30)&lt;=8,MOD(H1319,30)&gt;2.5),1,0)*VLOOKUP(D1319,'报价表-配送'!$B$16:$I$21,6,0)+IF(AND(MOD(H1319,30)&lt;=2.5,MOD(H1319,30)&gt;=1.5),1,0)*VLOOKUP(D1319,'报价表-配送'!$B$16:$I$21,5,0)</f>
        <v>0</v>
      </c>
      <c r="M1319" s="39">
        <f>IF(AND(MOD(H1319,30)&lt;1.5,MOD(H1319,30)&gt;=0.5),H1319,0)*VLOOKUP(D1319,'报价表-配送'!$B$16:$I$21,4,0)*1000+IF(AND(MOD(H1319,30)&lt;0.5,MOD(H1319,30)&gt;=0.02),H1319,0)*VLOOKUP(D1319,'报价表-配送'!$B$16:$I$21,3,0)*1000+IF(AND(MOD(H1319,30)&lt;0.02),H1319,0)*VLOOKUP(D1319,'报价表-配送'!$B$16:$I$21,2,0)*1000</f>
        <v>0</v>
      </c>
      <c r="N1319" s="38">
        <f t="shared" si="20"/>
        <v>0</v>
      </c>
    </row>
    <row r="1320" spans="1:14" x14ac:dyDescent="0.25">
      <c r="A1320" t="s">
        <v>82</v>
      </c>
      <c r="B1320" s="43" t="s">
        <v>148</v>
      </c>
      <c r="C1320" s="62">
        <f>VLOOKUP(B1320,合并仓明细!$D$2:$F$74,3,0)</f>
        <v>452</v>
      </c>
      <c r="D1320" s="44" t="s">
        <v>25</v>
      </c>
      <c r="E1320" s="43" t="s">
        <v>286</v>
      </c>
      <c r="F1320" t="s">
        <v>66</v>
      </c>
      <c r="G1320" s="42">
        <v>127.29</v>
      </c>
      <c r="H1320">
        <v>0.12729000000000001</v>
      </c>
      <c r="K1320" s="1"/>
      <c r="L1320" s="37">
        <f>IF(H1320&gt;30,QUOTIENT(H1320,30)*VLOOKUP(D1320,'报价表-配送'!$B$16:$I$21,8,0),0)+IF(AND(MOD(H1320,30)&gt;18,MOD(H1320,30)&lt;=30),1,0)*VLOOKUP(D1320,'报价表-配送'!$B$16:$I$21,8,0)+IF(AND(MOD(H1320,30)&gt;8,MOD(H1320,30)&lt;=18),1*VLOOKUP(D1320,'报价表-配送'!$B$16:$I$21,7,0),0)+IF(AND(MOD(H1320,30)&lt;=8,MOD(H1320,30)&gt;2.5),1,0)*VLOOKUP(D1320,'报价表-配送'!$B$16:$I$21,6,0)+IF(AND(MOD(H1320,30)&lt;=2.5,MOD(H1320,30)&gt;=1.5),1,0)*VLOOKUP(D1320,'报价表-配送'!$B$16:$I$21,5,0)</f>
        <v>0</v>
      </c>
      <c r="M1320" s="39">
        <f>IF(AND(MOD(H1320,30)&lt;1.5,MOD(H1320,30)&gt;=0.5),H1320,0)*VLOOKUP(D1320,'报价表-配送'!$B$16:$I$21,4,0)*1000+IF(AND(MOD(H1320,30)&lt;0.5,MOD(H1320,30)&gt;=0.02),H1320,0)*VLOOKUP(D1320,'报价表-配送'!$B$16:$I$21,3,0)*1000+IF(AND(MOD(H1320,30)&lt;0.02),H1320,0)*VLOOKUP(D1320,'报价表-配送'!$B$16:$I$21,2,0)*1000</f>
        <v>0</v>
      </c>
      <c r="N1320" s="38">
        <f t="shared" si="20"/>
        <v>0</v>
      </c>
    </row>
    <row r="1321" spans="1:14" x14ac:dyDescent="0.25">
      <c r="A1321" t="s">
        <v>82</v>
      </c>
      <c r="B1321" s="43" t="s">
        <v>148</v>
      </c>
      <c r="C1321" s="62">
        <f>VLOOKUP(B1321,合并仓明细!$D$2:$F$74,3,0)</f>
        <v>452</v>
      </c>
      <c r="D1321" s="44" t="s">
        <v>25</v>
      </c>
      <c r="E1321" s="43" t="s">
        <v>324</v>
      </c>
      <c r="F1321" t="s">
        <v>66</v>
      </c>
      <c r="G1321" s="42">
        <v>57.320000000000007</v>
      </c>
      <c r="H1321">
        <v>5.732000000000001E-2</v>
      </c>
      <c r="K1321" s="1"/>
      <c r="L1321" s="37">
        <f>IF(H1321&gt;30,QUOTIENT(H1321,30)*VLOOKUP(D1321,'报价表-配送'!$B$16:$I$21,8,0),0)+IF(AND(MOD(H1321,30)&gt;18,MOD(H1321,30)&lt;=30),1,0)*VLOOKUP(D1321,'报价表-配送'!$B$16:$I$21,8,0)+IF(AND(MOD(H1321,30)&gt;8,MOD(H1321,30)&lt;=18),1*VLOOKUP(D1321,'报价表-配送'!$B$16:$I$21,7,0),0)+IF(AND(MOD(H1321,30)&lt;=8,MOD(H1321,30)&gt;2.5),1,0)*VLOOKUP(D1321,'报价表-配送'!$B$16:$I$21,6,0)+IF(AND(MOD(H1321,30)&lt;=2.5,MOD(H1321,30)&gt;=1.5),1,0)*VLOOKUP(D1321,'报价表-配送'!$B$16:$I$21,5,0)</f>
        <v>0</v>
      </c>
      <c r="M1321" s="39">
        <f>IF(AND(MOD(H1321,30)&lt;1.5,MOD(H1321,30)&gt;=0.5),H1321,0)*VLOOKUP(D1321,'报价表-配送'!$B$16:$I$21,4,0)*1000+IF(AND(MOD(H1321,30)&lt;0.5,MOD(H1321,30)&gt;=0.02),H1321,0)*VLOOKUP(D1321,'报价表-配送'!$B$16:$I$21,3,0)*1000+IF(AND(MOD(H1321,30)&lt;0.02),H1321,0)*VLOOKUP(D1321,'报价表-配送'!$B$16:$I$21,2,0)*1000</f>
        <v>0</v>
      </c>
      <c r="N1321" s="38">
        <f t="shared" si="20"/>
        <v>0</v>
      </c>
    </row>
    <row r="1322" spans="1:14" x14ac:dyDescent="0.25">
      <c r="A1322" t="s">
        <v>82</v>
      </c>
      <c r="B1322" s="43" t="s">
        <v>148</v>
      </c>
      <c r="C1322" s="62">
        <f>VLOOKUP(B1322,合并仓明细!$D$2:$F$74,3,0)</f>
        <v>452</v>
      </c>
      <c r="D1322" s="44" t="s">
        <v>25</v>
      </c>
      <c r="E1322" s="43" t="s">
        <v>288</v>
      </c>
      <c r="F1322" t="s">
        <v>66</v>
      </c>
      <c r="G1322" s="42">
        <v>26.21</v>
      </c>
      <c r="H1322">
        <v>2.6210000000000001E-2</v>
      </c>
      <c r="K1322" s="1"/>
      <c r="L1322" s="37">
        <f>IF(H1322&gt;30,QUOTIENT(H1322,30)*VLOOKUP(D1322,'报价表-配送'!$B$16:$I$21,8,0),0)+IF(AND(MOD(H1322,30)&gt;18,MOD(H1322,30)&lt;=30),1,0)*VLOOKUP(D1322,'报价表-配送'!$B$16:$I$21,8,0)+IF(AND(MOD(H1322,30)&gt;8,MOD(H1322,30)&lt;=18),1*VLOOKUP(D1322,'报价表-配送'!$B$16:$I$21,7,0),0)+IF(AND(MOD(H1322,30)&lt;=8,MOD(H1322,30)&gt;2.5),1,0)*VLOOKUP(D1322,'报价表-配送'!$B$16:$I$21,6,0)+IF(AND(MOD(H1322,30)&lt;=2.5,MOD(H1322,30)&gt;=1.5),1,0)*VLOOKUP(D1322,'报价表-配送'!$B$16:$I$21,5,0)</f>
        <v>0</v>
      </c>
      <c r="M1322" s="39">
        <f>IF(AND(MOD(H1322,30)&lt;1.5,MOD(H1322,30)&gt;=0.5),H1322,0)*VLOOKUP(D1322,'报价表-配送'!$B$16:$I$21,4,0)*1000+IF(AND(MOD(H1322,30)&lt;0.5,MOD(H1322,30)&gt;=0.02),H1322,0)*VLOOKUP(D1322,'报价表-配送'!$B$16:$I$21,3,0)*1000+IF(AND(MOD(H1322,30)&lt;0.02),H1322,0)*VLOOKUP(D1322,'报价表-配送'!$B$16:$I$21,2,0)*1000</f>
        <v>0</v>
      </c>
      <c r="N1322" s="38">
        <f t="shared" si="20"/>
        <v>0</v>
      </c>
    </row>
    <row r="1323" spans="1:14" x14ac:dyDescent="0.25">
      <c r="A1323" t="s">
        <v>82</v>
      </c>
      <c r="B1323" s="43" t="s">
        <v>148</v>
      </c>
      <c r="C1323" s="62">
        <f>VLOOKUP(B1323,合并仓明细!$D$2:$F$74,3,0)</f>
        <v>452</v>
      </c>
      <c r="D1323" s="44" t="s">
        <v>25</v>
      </c>
      <c r="E1323" s="43" t="s">
        <v>372</v>
      </c>
      <c r="F1323" t="s">
        <v>68</v>
      </c>
      <c r="G1323" s="42">
        <v>1152.03</v>
      </c>
      <c r="H1323">
        <v>1.5886499999999999</v>
      </c>
      <c r="I1323" s="46">
        <f>ROUNDUP(H1323/30,0)*VLOOKUP(D1323,'报价表-配送'!$B$16:$I$21,8,0)</f>
        <v>0</v>
      </c>
      <c r="K1323" s="1"/>
      <c r="L1323" s="33"/>
      <c r="M1323" s="1"/>
      <c r="N1323" s="38">
        <f t="shared" si="20"/>
        <v>0</v>
      </c>
    </row>
    <row r="1324" spans="1:14" x14ac:dyDescent="0.25">
      <c r="A1324" t="s">
        <v>82</v>
      </c>
      <c r="B1324" s="43" t="s">
        <v>148</v>
      </c>
      <c r="C1324" s="62">
        <f>VLOOKUP(B1324,合并仓明细!$D$2:$F$74,3,0)</f>
        <v>452</v>
      </c>
      <c r="D1324" s="44" t="s">
        <v>25</v>
      </c>
      <c r="E1324" s="43" t="s">
        <v>372</v>
      </c>
      <c r="F1324" t="s">
        <v>66</v>
      </c>
      <c r="G1324" s="42">
        <v>436.61999999999995</v>
      </c>
      <c r="H1324"/>
      <c r="K1324" s="1"/>
      <c r="L1324" s="33"/>
      <c r="M1324" s="1"/>
      <c r="N1324" s="38">
        <f t="shared" si="20"/>
        <v>0</v>
      </c>
    </row>
    <row r="1325" spans="1:14" x14ac:dyDescent="0.25">
      <c r="A1325" t="s">
        <v>82</v>
      </c>
      <c r="B1325" s="43" t="s">
        <v>148</v>
      </c>
      <c r="C1325" s="62">
        <f>VLOOKUP(B1325,合并仓明细!$D$2:$F$74,3,0)</f>
        <v>452</v>
      </c>
      <c r="D1325" s="44" t="s">
        <v>25</v>
      </c>
      <c r="E1325" s="43" t="s">
        <v>247</v>
      </c>
      <c r="F1325" t="s">
        <v>66</v>
      </c>
      <c r="G1325" s="42">
        <v>61.679999999999993</v>
      </c>
      <c r="H1325">
        <v>6.1679999999999992E-2</v>
      </c>
      <c r="K1325" s="1"/>
      <c r="L1325" s="37">
        <f>IF(H1325&gt;30,QUOTIENT(H1325,30)*VLOOKUP(D1325,'报价表-配送'!$B$16:$I$21,8,0),0)+IF(AND(MOD(H1325,30)&gt;18,MOD(H1325,30)&lt;=30),1,0)*VLOOKUP(D1325,'报价表-配送'!$B$16:$I$21,8,0)+IF(AND(MOD(H1325,30)&gt;8,MOD(H1325,30)&lt;=18),1*VLOOKUP(D1325,'报价表-配送'!$B$16:$I$21,7,0),0)+IF(AND(MOD(H1325,30)&lt;=8,MOD(H1325,30)&gt;2.5),1,0)*VLOOKUP(D1325,'报价表-配送'!$B$16:$I$21,6,0)+IF(AND(MOD(H1325,30)&lt;=2.5,MOD(H1325,30)&gt;=1.5),1,0)*VLOOKUP(D1325,'报价表-配送'!$B$16:$I$21,5,0)</f>
        <v>0</v>
      </c>
      <c r="M1325" s="39">
        <f>IF(AND(MOD(H1325,30)&lt;1.5,MOD(H1325,30)&gt;=0.5),H1325,0)*VLOOKUP(D1325,'报价表-配送'!$B$16:$I$21,4,0)*1000+IF(AND(MOD(H1325,30)&lt;0.5,MOD(H1325,30)&gt;=0.02),H1325,0)*VLOOKUP(D1325,'报价表-配送'!$B$16:$I$21,3,0)*1000+IF(AND(MOD(H1325,30)&lt;0.02),H1325,0)*VLOOKUP(D1325,'报价表-配送'!$B$16:$I$21,2,0)*1000</f>
        <v>0</v>
      </c>
      <c r="N1325" s="38">
        <f t="shared" si="20"/>
        <v>0</v>
      </c>
    </row>
    <row r="1326" spans="1:14" x14ac:dyDescent="0.25">
      <c r="A1326" t="s">
        <v>82</v>
      </c>
      <c r="B1326" s="43" t="s">
        <v>148</v>
      </c>
      <c r="C1326" s="62">
        <f>VLOOKUP(B1326,合并仓明细!$D$2:$F$74,3,0)</f>
        <v>452</v>
      </c>
      <c r="D1326" s="44" t="s">
        <v>25</v>
      </c>
      <c r="E1326" s="43" t="s">
        <v>289</v>
      </c>
      <c r="F1326" t="s">
        <v>66</v>
      </c>
      <c r="G1326" s="42">
        <v>82</v>
      </c>
      <c r="H1326">
        <v>8.2000000000000003E-2</v>
      </c>
      <c r="K1326" s="1"/>
      <c r="L1326" s="37">
        <f>IF(H1326&gt;30,QUOTIENT(H1326,30)*VLOOKUP(D1326,'报价表-配送'!$B$16:$I$21,8,0),0)+IF(AND(MOD(H1326,30)&gt;18,MOD(H1326,30)&lt;=30),1,0)*VLOOKUP(D1326,'报价表-配送'!$B$16:$I$21,8,0)+IF(AND(MOD(H1326,30)&gt;8,MOD(H1326,30)&lt;=18),1*VLOOKUP(D1326,'报价表-配送'!$B$16:$I$21,7,0),0)+IF(AND(MOD(H1326,30)&lt;=8,MOD(H1326,30)&gt;2.5),1,0)*VLOOKUP(D1326,'报价表-配送'!$B$16:$I$21,6,0)+IF(AND(MOD(H1326,30)&lt;=2.5,MOD(H1326,30)&gt;=1.5),1,0)*VLOOKUP(D1326,'报价表-配送'!$B$16:$I$21,5,0)</f>
        <v>0</v>
      </c>
      <c r="M1326" s="39">
        <f>IF(AND(MOD(H1326,30)&lt;1.5,MOD(H1326,30)&gt;=0.5),H1326,0)*VLOOKUP(D1326,'报价表-配送'!$B$16:$I$21,4,0)*1000+IF(AND(MOD(H1326,30)&lt;0.5,MOD(H1326,30)&gt;=0.02),H1326,0)*VLOOKUP(D1326,'报价表-配送'!$B$16:$I$21,3,0)*1000+IF(AND(MOD(H1326,30)&lt;0.02),H1326,0)*VLOOKUP(D1326,'报价表-配送'!$B$16:$I$21,2,0)*1000</f>
        <v>0</v>
      </c>
      <c r="N1326" s="38">
        <f t="shared" si="20"/>
        <v>0</v>
      </c>
    </row>
    <row r="1327" spans="1:14" x14ac:dyDescent="0.25">
      <c r="A1327" t="s">
        <v>82</v>
      </c>
      <c r="B1327" s="43" t="s">
        <v>148</v>
      </c>
      <c r="C1327" s="62">
        <f>VLOOKUP(B1327,合并仓明细!$D$2:$F$74,3,0)</f>
        <v>452</v>
      </c>
      <c r="D1327" s="44" t="s">
        <v>25</v>
      </c>
      <c r="E1327" s="43" t="s">
        <v>349</v>
      </c>
      <c r="F1327" t="s">
        <v>66</v>
      </c>
      <c r="G1327" s="42">
        <v>106.57</v>
      </c>
      <c r="H1327">
        <v>0.10657</v>
      </c>
      <c r="K1327" s="1"/>
      <c r="L1327" s="37">
        <f>IF(H1327&gt;30,QUOTIENT(H1327,30)*VLOOKUP(D1327,'报价表-配送'!$B$16:$I$21,8,0),0)+IF(AND(MOD(H1327,30)&gt;18,MOD(H1327,30)&lt;=30),1,0)*VLOOKUP(D1327,'报价表-配送'!$B$16:$I$21,8,0)+IF(AND(MOD(H1327,30)&gt;8,MOD(H1327,30)&lt;=18),1*VLOOKUP(D1327,'报价表-配送'!$B$16:$I$21,7,0),0)+IF(AND(MOD(H1327,30)&lt;=8,MOD(H1327,30)&gt;2.5),1,0)*VLOOKUP(D1327,'报价表-配送'!$B$16:$I$21,6,0)+IF(AND(MOD(H1327,30)&lt;=2.5,MOD(H1327,30)&gt;=1.5),1,0)*VLOOKUP(D1327,'报价表-配送'!$B$16:$I$21,5,0)</f>
        <v>0</v>
      </c>
      <c r="M1327" s="39">
        <f>IF(AND(MOD(H1327,30)&lt;1.5,MOD(H1327,30)&gt;=0.5),H1327,0)*VLOOKUP(D1327,'报价表-配送'!$B$16:$I$21,4,0)*1000+IF(AND(MOD(H1327,30)&lt;0.5,MOD(H1327,30)&gt;=0.02),H1327,0)*VLOOKUP(D1327,'报价表-配送'!$B$16:$I$21,3,0)*1000+IF(AND(MOD(H1327,30)&lt;0.02),H1327,0)*VLOOKUP(D1327,'报价表-配送'!$B$16:$I$21,2,0)*1000</f>
        <v>0</v>
      </c>
      <c r="N1327" s="38">
        <f t="shared" si="20"/>
        <v>0</v>
      </c>
    </row>
    <row r="1328" spans="1:14" x14ac:dyDescent="0.25">
      <c r="A1328" t="s">
        <v>82</v>
      </c>
      <c r="B1328" s="43" t="s">
        <v>148</v>
      </c>
      <c r="C1328" s="62">
        <f>VLOOKUP(B1328,合并仓明细!$D$2:$F$74,3,0)</f>
        <v>452</v>
      </c>
      <c r="D1328" s="44" t="s">
        <v>25</v>
      </c>
      <c r="E1328" s="43" t="s">
        <v>315</v>
      </c>
      <c r="F1328" t="s">
        <v>66</v>
      </c>
      <c r="G1328" s="42">
        <v>41.45</v>
      </c>
      <c r="H1328">
        <v>4.1450000000000001E-2</v>
      </c>
      <c r="K1328" s="1"/>
      <c r="L1328" s="37">
        <f>IF(H1328&gt;30,QUOTIENT(H1328,30)*VLOOKUP(D1328,'报价表-配送'!$B$16:$I$21,8,0),0)+IF(AND(MOD(H1328,30)&gt;18,MOD(H1328,30)&lt;=30),1,0)*VLOOKUP(D1328,'报价表-配送'!$B$16:$I$21,8,0)+IF(AND(MOD(H1328,30)&gt;8,MOD(H1328,30)&lt;=18),1*VLOOKUP(D1328,'报价表-配送'!$B$16:$I$21,7,0),0)+IF(AND(MOD(H1328,30)&lt;=8,MOD(H1328,30)&gt;2.5),1,0)*VLOOKUP(D1328,'报价表-配送'!$B$16:$I$21,6,0)+IF(AND(MOD(H1328,30)&lt;=2.5,MOD(H1328,30)&gt;=1.5),1,0)*VLOOKUP(D1328,'报价表-配送'!$B$16:$I$21,5,0)</f>
        <v>0</v>
      </c>
      <c r="M1328" s="39">
        <f>IF(AND(MOD(H1328,30)&lt;1.5,MOD(H1328,30)&gt;=0.5),H1328,0)*VLOOKUP(D1328,'报价表-配送'!$B$16:$I$21,4,0)*1000+IF(AND(MOD(H1328,30)&lt;0.5,MOD(H1328,30)&gt;=0.02),H1328,0)*VLOOKUP(D1328,'报价表-配送'!$B$16:$I$21,3,0)*1000+IF(AND(MOD(H1328,30)&lt;0.02),H1328,0)*VLOOKUP(D1328,'报价表-配送'!$B$16:$I$21,2,0)*1000</f>
        <v>0</v>
      </c>
      <c r="N1328" s="38">
        <f t="shared" si="20"/>
        <v>0</v>
      </c>
    </row>
    <row r="1329" spans="1:14" x14ac:dyDescent="0.25">
      <c r="A1329" t="s">
        <v>82</v>
      </c>
      <c r="B1329" s="43" t="s">
        <v>148</v>
      </c>
      <c r="C1329" s="62">
        <f>VLOOKUP(B1329,合并仓明细!$D$2:$F$74,3,0)</f>
        <v>452</v>
      </c>
      <c r="D1329" s="44" t="s">
        <v>25</v>
      </c>
      <c r="E1329" s="43" t="s">
        <v>340</v>
      </c>
      <c r="F1329" t="s">
        <v>66</v>
      </c>
      <c r="G1329" s="42">
        <v>170.02</v>
      </c>
      <c r="H1329">
        <v>0.17002</v>
      </c>
      <c r="K1329" s="1"/>
      <c r="L1329" s="37">
        <f>IF(H1329&gt;30,QUOTIENT(H1329,30)*VLOOKUP(D1329,'报价表-配送'!$B$16:$I$21,8,0),0)+IF(AND(MOD(H1329,30)&gt;18,MOD(H1329,30)&lt;=30),1,0)*VLOOKUP(D1329,'报价表-配送'!$B$16:$I$21,8,0)+IF(AND(MOD(H1329,30)&gt;8,MOD(H1329,30)&lt;=18),1*VLOOKUP(D1329,'报价表-配送'!$B$16:$I$21,7,0),0)+IF(AND(MOD(H1329,30)&lt;=8,MOD(H1329,30)&gt;2.5),1,0)*VLOOKUP(D1329,'报价表-配送'!$B$16:$I$21,6,0)+IF(AND(MOD(H1329,30)&lt;=2.5,MOD(H1329,30)&gt;=1.5),1,0)*VLOOKUP(D1329,'报价表-配送'!$B$16:$I$21,5,0)</f>
        <v>0</v>
      </c>
      <c r="M1329" s="39">
        <f>IF(AND(MOD(H1329,30)&lt;1.5,MOD(H1329,30)&gt;=0.5),H1329,0)*VLOOKUP(D1329,'报价表-配送'!$B$16:$I$21,4,0)*1000+IF(AND(MOD(H1329,30)&lt;0.5,MOD(H1329,30)&gt;=0.02),H1329,0)*VLOOKUP(D1329,'报价表-配送'!$B$16:$I$21,3,0)*1000+IF(AND(MOD(H1329,30)&lt;0.02),H1329,0)*VLOOKUP(D1329,'报价表-配送'!$B$16:$I$21,2,0)*1000</f>
        <v>0</v>
      </c>
      <c r="N1329" s="38">
        <f t="shared" si="20"/>
        <v>0</v>
      </c>
    </row>
    <row r="1330" spans="1:14" x14ac:dyDescent="0.25">
      <c r="A1330" t="s">
        <v>82</v>
      </c>
      <c r="B1330" s="43" t="s">
        <v>148</v>
      </c>
      <c r="C1330" s="62">
        <f>VLOOKUP(B1330,合并仓明细!$D$2:$F$74,3,0)</f>
        <v>452</v>
      </c>
      <c r="D1330" s="44" t="s">
        <v>25</v>
      </c>
      <c r="E1330" s="43" t="s">
        <v>316</v>
      </c>
      <c r="F1330" t="s">
        <v>66</v>
      </c>
      <c r="G1330" s="42">
        <v>132.44999999999999</v>
      </c>
      <c r="H1330">
        <v>0.13244999999999998</v>
      </c>
      <c r="K1330" s="1"/>
      <c r="L1330" s="37">
        <f>IF(H1330&gt;30,QUOTIENT(H1330,30)*VLOOKUP(D1330,'报价表-配送'!$B$16:$I$21,8,0),0)+IF(AND(MOD(H1330,30)&gt;18,MOD(H1330,30)&lt;=30),1,0)*VLOOKUP(D1330,'报价表-配送'!$B$16:$I$21,8,0)+IF(AND(MOD(H1330,30)&gt;8,MOD(H1330,30)&lt;=18),1*VLOOKUP(D1330,'报价表-配送'!$B$16:$I$21,7,0),0)+IF(AND(MOD(H1330,30)&lt;=8,MOD(H1330,30)&gt;2.5),1,0)*VLOOKUP(D1330,'报价表-配送'!$B$16:$I$21,6,0)+IF(AND(MOD(H1330,30)&lt;=2.5,MOD(H1330,30)&gt;=1.5),1,0)*VLOOKUP(D1330,'报价表-配送'!$B$16:$I$21,5,0)</f>
        <v>0</v>
      </c>
      <c r="M1330" s="39">
        <f>IF(AND(MOD(H1330,30)&lt;1.5,MOD(H1330,30)&gt;=0.5),H1330,0)*VLOOKUP(D1330,'报价表-配送'!$B$16:$I$21,4,0)*1000+IF(AND(MOD(H1330,30)&lt;0.5,MOD(H1330,30)&gt;=0.02),H1330,0)*VLOOKUP(D1330,'报价表-配送'!$B$16:$I$21,3,0)*1000+IF(AND(MOD(H1330,30)&lt;0.02),H1330,0)*VLOOKUP(D1330,'报价表-配送'!$B$16:$I$21,2,0)*1000</f>
        <v>0</v>
      </c>
      <c r="N1330" s="38">
        <f t="shared" si="20"/>
        <v>0</v>
      </c>
    </row>
    <row r="1331" spans="1:14" x14ac:dyDescent="0.25">
      <c r="A1331" t="s">
        <v>82</v>
      </c>
      <c r="B1331" s="43" t="s">
        <v>148</v>
      </c>
      <c r="C1331" s="62">
        <f>VLOOKUP(B1331,合并仓明细!$D$2:$F$74,3,0)</f>
        <v>452</v>
      </c>
      <c r="D1331" s="44" t="s">
        <v>25</v>
      </c>
      <c r="E1331" s="43" t="s">
        <v>248</v>
      </c>
      <c r="F1331" t="s">
        <v>66</v>
      </c>
      <c r="G1331" s="42">
        <v>108.5</v>
      </c>
      <c r="H1331">
        <v>0.1085</v>
      </c>
      <c r="K1331" s="1"/>
      <c r="L1331" s="37">
        <f>IF(H1331&gt;30,QUOTIENT(H1331,30)*VLOOKUP(D1331,'报价表-配送'!$B$16:$I$21,8,0),0)+IF(AND(MOD(H1331,30)&gt;18,MOD(H1331,30)&lt;=30),1,0)*VLOOKUP(D1331,'报价表-配送'!$B$16:$I$21,8,0)+IF(AND(MOD(H1331,30)&gt;8,MOD(H1331,30)&lt;=18),1*VLOOKUP(D1331,'报价表-配送'!$B$16:$I$21,7,0),0)+IF(AND(MOD(H1331,30)&lt;=8,MOD(H1331,30)&gt;2.5),1,0)*VLOOKUP(D1331,'报价表-配送'!$B$16:$I$21,6,0)+IF(AND(MOD(H1331,30)&lt;=2.5,MOD(H1331,30)&gt;=1.5),1,0)*VLOOKUP(D1331,'报价表-配送'!$B$16:$I$21,5,0)</f>
        <v>0</v>
      </c>
      <c r="M1331" s="39">
        <f>IF(AND(MOD(H1331,30)&lt;1.5,MOD(H1331,30)&gt;=0.5),H1331,0)*VLOOKUP(D1331,'报价表-配送'!$B$16:$I$21,4,0)*1000+IF(AND(MOD(H1331,30)&lt;0.5,MOD(H1331,30)&gt;=0.02),H1331,0)*VLOOKUP(D1331,'报价表-配送'!$B$16:$I$21,3,0)*1000+IF(AND(MOD(H1331,30)&lt;0.02),H1331,0)*VLOOKUP(D1331,'报价表-配送'!$B$16:$I$21,2,0)*1000</f>
        <v>0</v>
      </c>
      <c r="N1331" s="38">
        <f t="shared" si="20"/>
        <v>0</v>
      </c>
    </row>
    <row r="1332" spans="1:14" x14ac:dyDescent="0.25">
      <c r="A1332" t="s">
        <v>82</v>
      </c>
      <c r="B1332" s="43" t="s">
        <v>148</v>
      </c>
      <c r="C1332" s="62">
        <f>VLOOKUP(B1332,合并仓明细!$D$2:$F$74,3,0)</f>
        <v>452</v>
      </c>
      <c r="D1332" s="44" t="s">
        <v>25</v>
      </c>
      <c r="E1332" s="43" t="s">
        <v>291</v>
      </c>
      <c r="F1332" t="s">
        <v>66</v>
      </c>
      <c r="G1332" s="42">
        <v>18.63</v>
      </c>
      <c r="H1332">
        <v>1.8630000000000001E-2</v>
      </c>
      <c r="K1332" s="1"/>
      <c r="L1332" s="37">
        <f>IF(H1332&gt;30,QUOTIENT(H1332,30)*VLOOKUP(D1332,'报价表-配送'!$B$16:$I$21,8,0),0)+IF(AND(MOD(H1332,30)&gt;18,MOD(H1332,30)&lt;=30),1,0)*VLOOKUP(D1332,'报价表-配送'!$B$16:$I$21,8,0)+IF(AND(MOD(H1332,30)&gt;8,MOD(H1332,30)&lt;=18),1*VLOOKUP(D1332,'报价表-配送'!$B$16:$I$21,7,0),0)+IF(AND(MOD(H1332,30)&lt;=8,MOD(H1332,30)&gt;2.5),1,0)*VLOOKUP(D1332,'报价表-配送'!$B$16:$I$21,6,0)+IF(AND(MOD(H1332,30)&lt;=2.5,MOD(H1332,30)&gt;=1.5),1,0)*VLOOKUP(D1332,'报价表-配送'!$B$16:$I$21,5,0)</f>
        <v>0</v>
      </c>
      <c r="M1332" s="39">
        <f>IF(AND(MOD(H1332,30)&lt;1.5,MOD(H1332,30)&gt;=0.5),H1332,0)*VLOOKUP(D1332,'报价表-配送'!$B$16:$I$21,4,0)*1000+IF(AND(MOD(H1332,30)&lt;0.5,MOD(H1332,30)&gt;=0.02),H1332,0)*VLOOKUP(D1332,'报价表-配送'!$B$16:$I$21,3,0)*1000+IF(AND(MOD(H1332,30)&lt;0.02),H1332,0)*VLOOKUP(D1332,'报价表-配送'!$B$16:$I$21,2,0)*1000</f>
        <v>0</v>
      </c>
      <c r="N1332" s="38">
        <f t="shared" si="20"/>
        <v>0</v>
      </c>
    </row>
    <row r="1333" spans="1:14" x14ac:dyDescent="0.25">
      <c r="A1333" t="s">
        <v>82</v>
      </c>
      <c r="B1333" s="43" t="s">
        <v>148</v>
      </c>
      <c r="C1333" s="62">
        <f>VLOOKUP(B1333,合并仓明细!$D$2:$F$74,3,0)</f>
        <v>452</v>
      </c>
      <c r="D1333" s="44" t="s">
        <v>25</v>
      </c>
      <c r="E1333" s="43" t="s">
        <v>292</v>
      </c>
      <c r="F1333" t="s">
        <v>66</v>
      </c>
      <c r="G1333" s="42">
        <v>144.85000000000002</v>
      </c>
      <c r="H1333">
        <v>0.14485000000000003</v>
      </c>
      <c r="K1333" s="1"/>
      <c r="L1333" s="37">
        <f>IF(H1333&gt;30,QUOTIENT(H1333,30)*VLOOKUP(D1333,'报价表-配送'!$B$16:$I$21,8,0),0)+IF(AND(MOD(H1333,30)&gt;18,MOD(H1333,30)&lt;=30),1,0)*VLOOKUP(D1333,'报价表-配送'!$B$16:$I$21,8,0)+IF(AND(MOD(H1333,30)&gt;8,MOD(H1333,30)&lt;=18),1*VLOOKUP(D1333,'报价表-配送'!$B$16:$I$21,7,0),0)+IF(AND(MOD(H1333,30)&lt;=8,MOD(H1333,30)&gt;2.5),1,0)*VLOOKUP(D1333,'报价表-配送'!$B$16:$I$21,6,0)+IF(AND(MOD(H1333,30)&lt;=2.5,MOD(H1333,30)&gt;=1.5),1,0)*VLOOKUP(D1333,'报价表-配送'!$B$16:$I$21,5,0)</f>
        <v>0</v>
      </c>
      <c r="M1333" s="39">
        <f>IF(AND(MOD(H1333,30)&lt;1.5,MOD(H1333,30)&gt;=0.5),H1333,0)*VLOOKUP(D1333,'报价表-配送'!$B$16:$I$21,4,0)*1000+IF(AND(MOD(H1333,30)&lt;0.5,MOD(H1333,30)&gt;=0.02),H1333,0)*VLOOKUP(D1333,'报价表-配送'!$B$16:$I$21,3,0)*1000+IF(AND(MOD(H1333,30)&lt;0.02),H1333,0)*VLOOKUP(D1333,'报价表-配送'!$B$16:$I$21,2,0)*1000</f>
        <v>0</v>
      </c>
      <c r="N1333" s="38">
        <f t="shared" si="20"/>
        <v>0</v>
      </c>
    </row>
    <row r="1334" spans="1:14" x14ac:dyDescent="0.25">
      <c r="A1334" t="s">
        <v>82</v>
      </c>
      <c r="B1334" s="43" t="s">
        <v>148</v>
      </c>
      <c r="C1334" s="62">
        <f>VLOOKUP(B1334,合并仓明细!$D$2:$F$74,3,0)</f>
        <v>452</v>
      </c>
      <c r="D1334" s="44" t="s">
        <v>25</v>
      </c>
      <c r="E1334" s="43" t="s">
        <v>293</v>
      </c>
      <c r="F1334" t="s">
        <v>66</v>
      </c>
      <c r="G1334" s="42">
        <v>1.75</v>
      </c>
      <c r="H1334">
        <v>1.75E-3</v>
      </c>
      <c r="K1334" s="1"/>
      <c r="L1334" s="37">
        <f>IF(H1334&gt;30,QUOTIENT(H1334,30)*VLOOKUP(D1334,'报价表-配送'!$B$16:$I$21,8,0),0)+IF(AND(MOD(H1334,30)&gt;18,MOD(H1334,30)&lt;=30),1,0)*VLOOKUP(D1334,'报价表-配送'!$B$16:$I$21,8,0)+IF(AND(MOD(H1334,30)&gt;8,MOD(H1334,30)&lt;=18),1*VLOOKUP(D1334,'报价表-配送'!$B$16:$I$21,7,0),0)+IF(AND(MOD(H1334,30)&lt;=8,MOD(H1334,30)&gt;2.5),1,0)*VLOOKUP(D1334,'报价表-配送'!$B$16:$I$21,6,0)+IF(AND(MOD(H1334,30)&lt;=2.5,MOD(H1334,30)&gt;=1.5),1,0)*VLOOKUP(D1334,'报价表-配送'!$B$16:$I$21,5,0)</f>
        <v>0</v>
      </c>
      <c r="M1334" s="39">
        <f>IF(AND(MOD(H1334,30)&lt;1.5,MOD(H1334,30)&gt;=0.5),H1334,0)*VLOOKUP(D1334,'报价表-配送'!$B$16:$I$21,4,0)*1000+IF(AND(MOD(H1334,30)&lt;0.5,MOD(H1334,30)&gt;=0.02),H1334,0)*VLOOKUP(D1334,'报价表-配送'!$B$16:$I$21,3,0)*1000+IF(AND(MOD(H1334,30)&lt;0.02),H1334,0)*VLOOKUP(D1334,'报价表-配送'!$B$16:$I$21,2,0)*1000</f>
        <v>0</v>
      </c>
      <c r="N1334" s="38">
        <f t="shared" si="20"/>
        <v>0</v>
      </c>
    </row>
    <row r="1335" spans="1:14" x14ac:dyDescent="0.25">
      <c r="A1335" t="s">
        <v>82</v>
      </c>
      <c r="B1335" s="43" t="s">
        <v>148</v>
      </c>
      <c r="C1335" s="62">
        <f>VLOOKUP(B1335,合并仓明细!$D$2:$F$74,3,0)</f>
        <v>452</v>
      </c>
      <c r="D1335" s="44" t="s">
        <v>25</v>
      </c>
      <c r="E1335" s="43" t="s">
        <v>358</v>
      </c>
      <c r="F1335" t="s">
        <v>66</v>
      </c>
      <c r="G1335" s="42">
        <v>82.490000000000009</v>
      </c>
      <c r="H1335">
        <v>8.2490000000000008E-2</v>
      </c>
      <c r="K1335" s="1"/>
      <c r="L1335" s="37">
        <f>IF(H1335&gt;30,QUOTIENT(H1335,30)*VLOOKUP(D1335,'报价表-配送'!$B$16:$I$21,8,0),0)+IF(AND(MOD(H1335,30)&gt;18,MOD(H1335,30)&lt;=30),1,0)*VLOOKUP(D1335,'报价表-配送'!$B$16:$I$21,8,0)+IF(AND(MOD(H1335,30)&gt;8,MOD(H1335,30)&lt;=18),1*VLOOKUP(D1335,'报价表-配送'!$B$16:$I$21,7,0),0)+IF(AND(MOD(H1335,30)&lt;=8,MOD(H1335,30)&gt;2.5),1,0)*VLOOKUP(D1335,'报价表-配送'!$B$16:$I$21,6,0)+IF(AND(MOD(H1335,30)&lt;=2.5,MOD(H1335,30)&gt;=1.5),1,0)*VLOOKUP(D1335,'报价表-配送'!$B$16:$I$21,5,0)</f>
        <v>0</v>
      </c>
      <c r="M1335" s="39">
        <f>IF(AND(MOD(H1335,30)&lt;1.5,MOD(H1335,30)&gt;=0.5),H1335,0)*VLOOKUP(D1335,'报价表-配送'!$B$16:$I$21,4,0)*1000+IF(AND(MOD(H1335,30)&lt;0.5,MOD(H1335,30)&gt;=0.02),H1335,0)*VLOOKUP(D1335,'报价表-配送'!$B$16:$I$21,3,0)*1000+IF(AND(MOD(H1335,30)&lt;0.02),H1335,0)*VLOOKUP(D1335,'报价表-配送'!$B$16:$I$21,2,0)*1000</f>
        <v>0</v>
      </c>
      <c r="N1335" s="38">
        <f t="shared" si="20"/>
        <v>0</v>
      </c>
    </row>
    <row r="1336" spans="1:14" x14ac:dyDescent="0.25">
      <c r="A1336" t="s">
        <v>82</v>
      </c>
      <c r="B1336" s="43" t="s">
        <v>148</v>
      </c>
      <c r="C1336" s="62">
        <f>VLOOKUP(B1336,合并仓明细!$D$2:$F$74,3,0)</f>
        <v>452</v>
      </c>
      <c r="D1336" s="44" t="s">
        <v>25</v>
      </c>
      <c r="E1336" s="43" t="s">
        <v>370</v>
      </c>
      <c r="F1336" t="s">
        <v>66</v>
      </c>
      <c r="G1336" s="42">
        <v>18.11</v>
      </c>
      <c r="H1336">
        <v>1.8110000000000001E-2</v>
      </c>
      <c r="K1336" s="1"/>
      <c r="L1336" s="37">
        <f>IF(H1336&gt;30,QUOTIENT(H1336,30)*VLOOKUP(D1336,'报价表-配送'!$B$16:$I$21,8,0),0)+IF(AND(MOD(H1336,30)&gt;18,MOD(H1336,30)&lt;=30),1,0)*VLOOKUP(D1336,'报价表-配送'!$B$16:$I$21,8,0)+IF(AND(MOD(H1336,30)&gt;8,MOD(H1336,30)&lt;=18),1*VLOOKUP(D1336,'报价表-配送'!$B$16:$I$21,7,0),0)+IF(AND(MOD(H1336,30)&lt;=8,MOD(H1336,30)&gt;2.5),1,0)*VLOOKUP(D1336,'报价表-配送'!$B$16:$I$21,6,0)+IF(AND(MOD(H1336,30)&lt;=2.5,MOD(H1336,30)&gt;=1.5),1,0)*VLOOKUP(D1336,'报价表-配送'!$B$16:$I$21,5,0)</f>
        <v>0</v>
      </c>
      <c r="M1336" s="39">
        <f>IF(AND(MOD(H1336,30)&lt;1.5,MOD(H1336,30)&gt;=0.5),H1336,0)*VLOOKUP(D1336,'报价表-配送'!$B$16:$I$21,4,0)*1000+IF(AND(MOD(H1336,30)&lt;0.5,MOD(H1336,30)&gt;=0.02),H1336,0)*VLOOKUP(D1336,'报价表-配送'!$B$16:$I$21,3,0)*1000+IF(AND(MOD(H1336,30)&lt;0.02),H1336,0)*VLOOKUP(D1336,'报价表-配送'!$B$16:$I$21,2,0)*1000</f>
        <v>0</v>
      </c>
      <c r="N1336" s="38">
        <f t="shared" si="20"/>
        <v>0</v>
      </c>
    </row>
    <row r="1337" spans="1:14" x14ac:dyDescent="0.25">
      <c r="A1337" t="s">
        <v>82</v>
      </c>
      <c r="B1337" s="43" t="s">
        <v>148</v>
      </c>
      <c r="C1337" s="62">
        <f>VLOOKUP(B1337,合并仓明细!$D$2:$F$74,3,0)</f>
        <v>452</v>
      </c>
      <c r="D1337" s="44" t="s">
        <v>25</v>
      </c>
      <c r="E1337" s="43" t="s">
        <v>295</v>
      </c>
      <c r="F1337" t="s">
        <v>66</v>
      </c>
      <c r="G1337" s="42">
        <v>4.4000000000000004</v>
      </c>
      <c r="H1337">
        <v>4.4000000000000003E-3</v>
      </c>
      <c r="K1337" s="1"/>
      <c r="L1337" s="37">
        <f>IF(H1337&gt;30,QUOTIENT(H1337,30)*VLOOKUP(D1337,'报价表-配送'!$B$16:$I$21,8,0),0)+IF(AND(MOD(H1337,30)&gt;18,MOD(H1337,30)&lt;=30),1,0)*VLOOKUP(D1337,'报价表-配送'!$B$16:$I$21,8,0)+IF(AND(MOD(H1337,30)&gt;8,MOD(H1337,30)&lt;=18),1*VLOOKUP(D1337,'报价表-配送'!$B$16:$I$21,7,0),0)+IF(AND(MOD(H1337,30)&lt;=8,MOD(H1337,30)&gt;2.5),1,0)*VLOOKUP(D1337,'报价表-配送'!$B$16:$I$21,6,0)+IF(AND(MOD(H1337,30)&lt;=2.5,MOD(H1337,30)&gt;=1.5),1,0)*VLOOKUP(D1337,'报价表-配送'!$B$16:$I$21,5,0)</f>
        <v>0</v>
      </c>
      <c r="M1337" s="39">
        <f>IF(AND(MOD(H1337,30)&lt;1.5,MOD(H1337,30)&gt;=0.5),H1337,0)*VLOOKUP(D1337,'报价表-配送'!$B$16:$I$21,4,0)*1000+IF(AND(MOD(H1337,30)&lt;0.5,MOD(H1337,30)&gt;=0.02),H1337,0)*VLOOKUP(D1337,'报价表-配送'!$B$16:$I$21,3,0)*1000+IF(AND(MOD(H1337,30)&lt;0.02),H1337,0)*VLOOKUP(D1337,'报价表-配送'!$B$16:$I$21,2,0)*1000</f>
        <v>0</v>
      </c>
      <c r="N1337" s="38">
        <f t="shared" si="20"/>
        <v>0</v>
      </c>
    </row>
    <row r="1338" spans="1:14" x14ac:dyDescent="0.25">
      <c r="A1338" t="s">
        <v>82</v>
      </c>
      <c r="B1338" s="43" t="s">
        <v>148</v>
      </c>
      <c r="C1338" s="62">
        <f>VLOOKUP(B1338,合并仓明细!$D$2:$F$74,3,0)</f>
        <v>452</v>
      </c>
      <c r="D1338" s="44" t="s">
        <v>25</v>
      </c>
      <c r="E1338" s="43" t="s">
        <v>353</v>
      </c>
      <c r="F1338" t="s">
        <v>66</v>
      </c>
      <c r="G1338" s="42">
        <v>1.68</v>
      </c>
      <c r="H1338">
        <v>1.6799999999999999E-3</v>
      </c>
      <c r="K1338" s="1"/>
      <c r="L1338" s="37">
        <f>IF(H1338&gt;30,QUOTIENT(H1338,30)*VLOOKUP(D1338,'报价表-配送'!$B$16:$I$21,8,0),0)+IF(AND(MOD(H1338,30)&gt;18,MOD(H1338,30)&lt;=30),1,0)*VLOOKUP(D1338,'报价表-配送'!$B$16:$I$21,8,0)+IF(AND(MOD(H1338,30)&gt;8,MOD(H1338,30)&lt;=18),1*VLOOKUP(D1338,'报价表-配送'!$B$16:$I$21,7,0),0)+IF(AND(MOD(H1338,30)&lt;=8,MOD(H1338,30)&gt;2.5),1,0)*VLOOKUP(D1338,'报价表-配送'!$B$16:$I$21,6,0)+IF(AND(MOD(H1338,30)&lt;=2.5,MOD(H1338,30)&gt;=1.5),1,0)*VLOOKUP(D1338,'报价表-配送'!$B$16:$I$21,5,0)</f>
        <v>0</v>
      </c>
      <c r="M1338" s="39">
        <f>IF(AND(MOD(H1338,30)&lt;1.5,MOD(H1338,30)&gt;=0.5),H1338,0)*VLOOKUP(D1338,'报价表-配送'!$B$16:$I$21,4,0)*1000+IF(AND(MOD(H1338,30)&lt;0.5,MOD(H1338,30)&gt;=0.02),H1338,0)*VLOOKUP(D1338,'报价表-配送'!$B$16:$I$21,3,0)*1000+IF(AND(MOD(H1338,30)&lt;0.02),H1338,0)*VLOOKUP(D1338,'报价表-配送'!$B$16:$I$21,2,0)*1000</f>
        <v>0</v>
      </c>
      <c r="N1338" s="38">
        <f t="shared" si="20"/>
        <v>0</v>
      </c>
    </row>
    <row r="1339" spans="1:14" x14ac:dyDescent="0.25">
      <c r="A1339" t="s">
        <v>82</v>
      </c>
      <c r="B1339" s="43" t="s">
        <v>148</v>
      </c>
      <c r="C1339" s="62">
        <f>VLOOKUP(B1339,合并仓明细!$D$2:$F$74,3,0)</f>
        <v>452</v>
      </c>
      <c r="D1339" s="44" t="s">
        <v>25</v>
      </c>
      <c r="E1339" s="43" t="s">
        <v>249</v>
      </c>
      <c r="F1339" t="s">
        <v>66</v>
      </c>
      <c r="G1339" s="42">
        <v>1.53</v>
      </c>
      <c r="H1339">
        <v>1.5300000000000001E-3</v>
      </c>
      <c r="K1339" s="1"/>
      <c r="L1339" s="37">
        <f>IF(H1339&gt;30,QUOTIENT(H1339,30)*VLOOKUP(D1339,'报价表-配送'!$B$16:$I$21,8,0),0)+IF(AND(MOD(H1339,30)&gt;18,MOD(H1339,30)&lt;=30),1,0)*VLOOKUP(D1339,'报价表-配送'!$B$16:$I$21,8,0)+IF(AND(MOD(H1339,30)&gt;8,MOD(H1339,30)&lt;=18),1*VLOOKUP(D1339,'报价表-配送'!$B$16:$I$21,7,0),0)+IF(AND(MOD(H1339,30)&lt;=8,MOD(H1339,30)&gt;2.5),1,0)*VLOOKUP(D1339,'报价表-配送'!$B$16:$I$21,6,0)+IF(AND(MOD(H1339,30)&lt;=2.5,MOD(H1339,30)&gt;=1.5),1,0)*VLOOKUP(D1339,'报价表-配送'!$B$16:$I$21,5,0)</f>
        <v>0</v>
      </c>
      <c r="M1339" s="39">
        <f>IF(AND(MOD(H1339,30)&lt;1.5,MOD(H1339,30)&gt;=0.5),H1339,0)*VLOOKUP(D1339,'报价表-配送'!$B$16:$I$21,4,0)*1000+IF(AND(MOD(H1339,30)&lt;0.5,MOD(H1339,30)&gt;=0.02),H1339,0)*VLOOKUP(D1339,'报价表-配送'!$B$16:$I$21,3,0)*1000+IF(AND(MOD(H1339,30)&lt;0.02),H1339,0)*VLOOKUP(D1339,'报价表-配送'!$B$16:$I$21,2,0)*1000</f>
        <v>0</v>
      </c>
      <c r="N1339" s="38">
        <f t="shared" si="20"/>
        <v>0</v>
      </c>
    </row>
    <row r="1340" spans="1:14" x14ac:dyDescent="0.25">
      <c r="A1340" t="s">
        <v>82</v>
      </c>
      <c r="B1340" s="43" t="s">
        <v>148</v>
      </c>
      <c r="C1340" s="62">
        <f>VLOOKUP(B1340,合并仓明细!$D$2:$F$74,3,0)</f>
        <v>452</v>
      </c>
      <c r="D1340" s="44" t="s">
        <v>25</v>
      </c>
      <c r="E1340" s="43" t="s">
        <v>325</v>
      </c>
      <c r="F1340" t="s">
        <v>66</v>
      </c>
      <c r="G1340" s="42">
        <v>38.54</v>
      </c>
      <c r="H1340">
        <v>3.8539999999999998E-2</v>
      </c>
      <c r="K1340" s="1"/>
      <c r="L1340" s="37">
        <f>IF(H1340&gt;30,QUOTIENT(H1340,30)*VLOOKUP(D1340,'报价表-配送'!$B$16:$I$21,8,0),0)+IF(AND(MOD(H1340,30)&gt;18,MOD(H1340,30)&lt;=30),1,0)*VLOOKUP(D1340,'报价表-配送'!$B$16:$I$21,8,0)+IF(AND(MOD(H1340,30)&gt;8,MOD(H1340,30)&lt;=18),1*VLOOKUP(D1340,'报价表-配送'!$B$16:$I$21,7,0),0)+IF(AND(MOD(H1340,30)&lt;=8,MOD(H1340,30)&gt;2.5),1,0)*VLOOKUP(D1340,'报价表-配送'!$B$16:$I$21,6,0)+IF(AND(MOD(H1340,30)&lt;=2.5,MOD(H1340,30)&gt;=1.5),1,0)*VLOOKUP(D1340,'报价表-配送'!$B$16:$I$21,5,0)</f>
        <v>0</v>
      </c>
      <c r="M1340" s="39">
        <f>IF(AND(MOD(H1340,30)&lt;1.5,MOD(H1340,30)&gt;=0.5),H1340,0)*VLOOKUP(D1340,'报价表-配送'!$B$16:$I$21,4,0)*1000+IF(AND(MOD(H1340,30)&lt;0.5,MOD(H1340,30)&gt;=0.02),H1340,0)*VLOOKUP(D1340,'报价表-配送'!$B$16:$I$21,3,0)*1000+IF(AND(MOD(H1340,30)&lt;0.02),H1340,0)*VLOOKUP(D1340,'报价表-配送'!$B$16:$I$21,2,0)*1000</f>
        <v>0</v>
      </c>
      <c r="N1340" s="38">
        <f t="shared" si="20"/>
        <v>0</v>
      </c>
    </row>
    <row r="1341" spans="1:14" x14ac:dyDescent="0.25">
      <c r="A1341" t="s">
        <v>82</v>
      </c>
      <c r="B1341" s="43" t="s">
        <v>148</v>
      </c>
      <c r="C1341" s="62">
        <f>VLOOKUP(B1341,合并仓明细!$D$2:$F$74,3,0)</f>
        <v>452</v>
      </c>
      <c r="D1341" s="44" t="s">
        <v>25</v>
      </c>
      <c r="E1341" s="43" t="s">
        <v>297</v>
      </c>
      <c r="F1341" t="s">
        <v>66</v>
      </c>
      <c r="G1341" s="42">
        <v>37.97</v>
      </c>
      <c r="H1341">
        <v>3.7969999999999997E-2</v>
      </c>
      <c r="K1341" s="1"/>
      <c r="L1341" s="37">
        <f>IF(H1341&gt;30,QUOTIENT(H1341,30)*VLOOKUP(D1341,'报价表-配送'!$B$16:$I$21,8,0),0)+IF(AND(MOD(H1341,30)&gt;18,MOD(H1341,30)&lt;=30),1,0)*VLOOKUP(D1341,'报价表-配送'!$B$16:$I$21,8,0)+IF(AND(MOD(H1341,30)&gt;8,MOD(H1341,30)&lt;=18),1*VLOOKUP(D1341,'报价表-配送'!$B$16:$I$21,7,0),0)+IF(AND(MOD(H1341,30)&lt;=8,MOD(H1341,30)&gt;2.5),1,0)*VLOOKUP(D1341,'报价表-配送'!$B$16:$I$21,6,0)+IF(AND(MOD(H1341,30)&lt;=2.5,MOD(H1341,30)&gt;=1.5),1,0)*VLOOKUP(D1341,'报价表-配送'!$B$16:$I$21,5,0)</f>
        <v>0</v>
      </c>
      <c r="M1341" s="39">
        <f>IF(AND(MOD(H1341,30)&lt;1.5,MOD(H1341,30)&gt;=0.5),H1341,0)*VLOOKUP(D1341,'报价表-配送'!$B$16:$I$21,4,0)*1000+IF(AND(MOD(H1341,30)&lt;0.5,MOD(H1341,30)&gt;=0.02),H1341,0)*VLOOKUP(D1341,'报价表-配送'!$B$16:$I$21,3,0)*1000+IF(AND(MOD(H1341,30)&lt;0.02),H1341,0)*VLOOKUP(D1341,'报价表-配送'!$B$16:$I$21,2,0)*1000</f>
        <v>0</v>
      </c>
      <c r="N1341" s="38">
        <f t="shared" si="20"/>
        <v>0</v>
      </c>
    </row>
    <row r="1342" spans="1:14" x14ac:dyDescent="0.25">
      <c r="A1342" t="s">
        <v>82</v>
      </c>
      <c r="B1342" s="43" t="s">
        <v>148</v>
      </c>
      <c r="C1342" s="62">
        <f>VLOOKUP(B1342,合并仓明细!$D$2:$F$74,3,0)</f>
        <v>452</v>
      </c>
      <c r="D1342" s="44" t="s">
        <v>25</v>
      </c>
      <c r="E1342" s="43" t="s">
        <v>373</v>
      </c>
      <c r="F1342" t="s">
        <v>66</v>
      </c>
      <c r="G1342" s="42">
        <v>22.060000000000002</v>
      </c>
      <c r="H1342">
        <v>2.2060000000000003E-2</v>
      </c>
      <c r="K1342" s="1"/>
      <c r="L1342" s="37">
        <f>IF(H1342&gt;30,QUOTIENT(H1342,30)*VLOOKUP(D1342,'报价表-配送'!$B$16:$I$21,8,0),0)+IF(AND(MOD(H1342,30)&gt;18,MOD(H1342,30)&lt;=30),1,0)*VLOOKUP(D1342,'报价表-配送'!$B$16:$I$21,8,0)+IF(AND(MOD(H1342,30)&gt;8,MOD(H1342,30)&lt;=18),1*VLOOKUP(D1342,'报价表-配送'!$B$16:$I$21,7,0),0)+IF(AND(MOD(H1342,30)&lt;=8,MOD(H1342,30)&gt;2.5),1,0)*VLOOKUP(D1342,'报价表-配送'!$B$16:$I$21,6,0)+IF(AND(MOD(H1342,30)&lt;=2.5,MOD(H1342,30)&gt;=1.5),1,0)*VLOOKUP(D1342,'报价表-配送'!$B$16:$I$21,5,0)</f>
        <v>0</v>
      </c>
      <c r="M1342" s="39">
        <f>IF(AND(MOD(H1342,30)&lt;1.5,MOD(H1342,30)&gt;=0.5),H1342,0)*VLOOKUP(D1342,'报价表-配送'!$B$16:$I$21,4,0)*1000+IF(AND(MOD(H1342,30)&lt;0.5,MOD(H1342,30)&gt;=0.02),H1342,0)*VLOOKUP(D1342,'报价表-配送'!$B$16:$I$21,3,0)*1000+IF(AND(MOD(H1342,30)&lt;0.02),H1342,0)*VLOOKUP(D1342,'报价表-配送'!$B$16:$I$21,2,0)*1000</f>
        <v>0</v>
      </c>
      <c r="N1342" s="38">
        <f t="shared" si="20"/>
        <v>0</v>
      </c>
    </row>
    <row r="1343" spans="1:14" x14ac:dyDescent="0.25">
      <c r="A1343" t="s">
        <v>82</v>
      </c>
      <c r="B1343" s="43" t="s">
        <v>148</v>
      </c>
      <c r="C1343" s="62">
        <f>VLOOKUP(B1343,合并仓明细!$D$2:$F$74,3,0)</f>
        <v>452</v>
      </c>
      <c r="D1343" s="44" t="s">
        <v>25</v>
      </c>
      <c r="E1343" s="43" t="s">
        <v>327</v>
      </c>
      <c r="F1343" t="s">
        <v>66</v>
      </c>
      <c r="G1343" s="42">
        <v>1.53</v>
      </c>
      <c r="H1343">
        <v>1.5300000000000001E-3</v>
      </c>
      <c r="K1343" s="1"/>
      <c r="L1343" s="37">
        <f>IF(H1343&gt;30,QUOTIENT(H1343,30)*VLOOKUP(D1343,'报价表-配送'!$B$16:$I$21,8,0),0)+IF(AND(MOD(H1343,30)&gt;18,MOD(H1343,30)&lt;=30),1,0)*VLOOKUP(D1343,'报价表-配送'!$B$16:$I$21,8,0)+IF(AND(MOD(H1343,30)&gt;8,MOD(H1343,30)&lt;=18),1*VLOOKUP(D1343,'报价表-配送'!$B$16:$I$21,7,0),0)+IF(AND(MOD(H1343,30)&lt;=8,MOD(H1343,30)&gt;2.5),1,0)*VLOOKUP(D1343,'报价表-配送'!$B$16:$I$21,6,0)+IF(AND(MOD(H1343,30)&lt;=2.5,MOD(H1343,30)&gt;=1.5),1,0)*VLOOKUP(D1343,'报价表-配送'!$B$16:$I$21,5,0)</f>
        <v>0</v>
      </c>
      <c r="M1343" s="39">
        <f>IF(AND(MOD(H1343,30)&lt;1.5,MOD(H1343,30)&gt;=0.5),H1343,0)*VLOOKUP(D1343,'报价表-配送'!$B$16:$I$21,4,0)*1000+IF(AND(MOD(H1343,30)&lt;0.5,MOD(H1343,30)&gt;=0.02),H1343,0)*VLOOKUP(D1343,'报价表-配送'!$B$16:$I$21,3,0)*1000+IF(AND(MOD(H1343,30)&lt;0.02),H1343,0)*VLOOKUP(D1343,'报价表-配送'!$B$16:$I$21,2,0)*1000</f>
        <v>0</v>
      </c>
      <c r="N1343" s="38">
        <f t="shared" si="20"/>
        <v>0</v>
      </c>
    </row>
    <row r="1344" spans="1:14" x14ac:dyDescent="0.25">
      <c r="A1344" t="s">
        <v>82</v>
      </c>
      <c r="B1344" s="43" t="s">
        <v>148</v>
      </c>
      <c r="C1344" s="62">
        <f>VLOOKUP(B1344,合并仓明细!$D$2:$F$74,3,0)</f>
        <v>452</v>
      </c>
      <c r="D1344" s="44" t="s">
        <v>25</v>
      </c>
      <c r="E1344" s="43" t="s">
        <v>320</v>
      </c>
      <c r="F1344" t="s">
        <v>67</v>
      </c>
      <c r="G1344" s="42">
        <v>24.03</v>
      </c>
      <c r="H1344">
        <v>0.28943999999999992</v>
      </c>
      <c r="I1344" s="38">
        <f>IF(H1344&gt;30,QUOTIENT(H1344,30)*VLOOKUP(D1344,'报价表-配送'!$B$16:$I$21,8,0),0)+IF(AND(MOD(H1344,30)&gt;18,MOD(H1344,30)&lt;=30),1,0)*VLOOKUP(D1344,'报价表-配送'!$B$16:$I$21,8,0)</f>
        <v>0</v>
      </c>
      <c r="J1344" s="38">
        <f>IF(AND(MOD(H1344,30)&gt;8,MOD(H1344,30)&lt;=18),1*VLOOKUP(D1344,'报价表-配送'!$B$16:$I$21,7,0),0)</f>
        <v>0</v>
      </c>
      <c r="K1344" s="38">
        <f>IF(AND(MOD(H1344,30)&lt;=8,MOD(H1344,30)&gt;0),1,0)*VLOOKUP(D1344,'报价表-配送'!$B$16:$I$21,6,0)</f>
        <v>0</v>
      </c>
      <c r="L1344" s="33"/>
      <c r="M1344" s="1"/>
      <c r="N1344" s="38">
        <f t="shared" si="20"/>
        <v>0</v>
      </c>
    </row>
    <row r="1345" spans="1:14" x14ac:dyDescent="0.25">
      <c r="A1345" t="s">
        <v>82</v>
      </c>
      <c r="B1345" s="43" t="s">
        <v>148</v>
      </c>
      <c r="C1345" s="62">
        <f>VLOOKUP(B1345,合并仓明细!$D$2:$F$74,3,0)</f>
        <v>452</v>
      </c>
      <c r="D1345" s="44" t="s">
        <v>25</v>
      </c>
      <c r="E1345" s="43" t="s">
        <v>320</v>
      </c>
      <c r="F1345" t="s">
        <v>66</v>
      </c>
      <c r="G1345" s="42">
        <v>265.40999999999991</v>
      </c>
      <c r="H1345"/>
      <c r="K1345" s="1"/>
      <c r="L1345" s="33"/>
      <c r="M1345" s="1"/>
      <c r="N1345" s="38">
        <f t="shared" si="20"/>
        <v>0</v>
      </c>
    </row>
    <row r="1346" spans="1:14" x14ac:dyDescent="0.25">
      <c r="A1346" t="s">
        <v>82</v>
      </c>
      <c r="B1346" s="43" t="s">
        <v>148</v>
      </c>
      <c r="C1346" s="62">
        <f>VLOOKUP(B1346,合并仓明细!$D$2:$F$74,3,0)</f>
        <v>452</v>
      </c>
      <c r="D1346" s="44" t="s">
        <v>25</v>
      </c>
      <c r="E1346" s="43" t="s">
        <v>300</v>
      </c>
      <c r="F1346" t="s">
        <v>68</v>
      </c>
      <c r="G1346" s="42">
        <v>435.53999999999996</v>
      </c>
      <c r="H1346">
        <v>1.4278300000000004</v>
      </c>
      <c r="I1346" s="46">
        <f>ROUNDUP(H1346/30,0)*VLOOKUP(D1346,'报价表-配送'!$B$16:$I$21,8,0)</f>
        <v>0</v>
      </c>
      <c r="K1346" s="1"/>
      <c r="L1346" s="33"/>
      <c r="M1346" s="1"/>
      <c r="N1346" s="38">
        <f t="shared" si="20"/>
        <v>0</v>
      </c>
    </row>
    <row r="1347" spans="1:14" x14ac:dyDescent="0.25">
      <c r="A1347" t="s">
        <v>82</v>
      </c>
      <c r="B1347" s="43" t="s">
        <v>148</v>
      </c>
      <c r="C1347" s="62">
        <f>VLOOKUP(B1347,合并仓明细!$D$2:$F$74,3,0)</f>
        <v>452</v>
      </c>
      <c r="D1347" s="44" t="s">
        <v>25</v>
      </c>
      <c r="E1347" s="43" t="s">
        <v>300</v>
      </c>
      <c r="F1347" t="s">
        <v>66</v>
      </c>
      <c r="G1347" s="42">
        <v>992.2900000000003</v>
      </c>
      <c r="H1347"/>
      <c r="K1347" s="1"/>
      <c r="L1347" s="33"/>
      <c r="M1347" s="1"/>
      <c r="N1347" s="38">
        <f t="shared" si="20"/>
        <v>0</v>
      </c>
    </row>
    <row r="1348" spans="1:14" x14ac:dyDescent="0.25">
      <c r="A1348" t="s">
        <v>82</v>
      </c>
      <c r="B1348" s="43" t="s">
        <v>148</v>
      </c>
      <c r="C1348" s="62">
        <f>VLOOKUP(B1348,合并仓明细!$D$2:$F$74,3,0)</f>
        <v>452</v>
      </c>
      <c r="D1348" s="44" t="s">
        <v>25</v>
      </c>
      <c r="E1348" s="43" t="s">
        <v>355</v>
      </c>
      <c r="F1348" t="s">
        <v>66</v>
      </c>
      <c r="G1348" s="42">
        <v>2.37</v>
      </c>
      <c r="H1348">
        <v>2.3700000000000001E-3</v>
      </c>
      <c r="K1348" s="1"/>
      <c r="L1348" s="37">
        <f>IF(H1348&gt;30,QUOTIENT(H1348,30)*VLOOKUP(D1348,'报价表-配送'!$B$16:$I$21,8,0),0)+IF(AND(MOD(H1348,30)&gt;18,MOD(H1348,30)&lt;=30),1,0)*VLOOKUP(D1348,'报价表-配送'!$B$16:$I$21,8,0)+IF(AND(MOD(H1348,30)&gt;8,MOD(H1348,30)&lt;=18),1*VLOOKUP(D1348,'报价表-配送'!$B$16:$I$21,7,0),0)+IF(AND(MOD(H1348,30)&lt;=8,MOD(H1348,30)&gt;2.5),1,0)*VLOOKUP(D1348,'报价表-配送'!$B$16:$I$21,6,0)+IF(AND(MOD(H1348,30)&lt;=2.5,MOD(H1348,30)&gt;=1.5),1,0)*VLOOKUP(D1348,'报价表-配送'!$B$16:$I$21,5,0)</f>
        <v>0</v>
      </c>
      <c r="M1348" s="39">
        <f>IF(AND(MOD(H1348,30)&lt;1.5,MOD(H1348,30)&gt;=0.5),H1348,0)*VLOOKUP(D1348,'报价表-配送'!$B$16:$I$21,4,0)*1000+IF(AND(MOD(H1348,30)&lt;0.5,MOD(H1348,30)&gt;=0.02),H1348,0)*VLOOKUP(D1348,'报价表-配送'!$B$16:$I$21,3,0)*1000+IF(AND(MOD(H1348,30)&lt;0.02),H1348,0)*VLOOKUP(D1348,'报价表-配送'!$B$16:$I$21,2,0)*1000</f>
        <v>0</v>
      </c>
      <c r="N1348" s="38">
        <f t="shared" si="20"/>
        <v>0</v>
      </c>
    </row>
    <row r="1349" spans="1:14" x14ac:dyDescent="0.25">
      <c r="A1349" t="s">
        <v>82</v>
      </c>
      <c r="B1349" s="43" t="s">
        <v>148</v>
      </c>
      <c r="C1349" s="62">
        <f>VLOOKUP(B1349,合并仓明细!$D$2:$F$74,3,0)</f>
        <v>452</v>
      </c>
      <c r="D1349" s="44" t="s">
        <v>25</v>
      </c>
      <c r="E1349" s="43" t="s">
        <v>303</v>
      </c>
      <c r="F1349" t="s">
        <v>68</v>
      </c>
      <c r="G1349" s="42">
        <v>6831.22</v>
      </c>
      <c r="H1349">
        <v>6.9141199999999996</v>
      </c>
      <c r="I1349" s="46">
        <f>ROUNDUP(H1349/30,0)*VLOOKUP(D1349,'报价表-配送'!$B$16:$I$21,8,0)</f>
        <v>0</v>
      </c>
      <c r="K1349" s="1"/>
      <c r="L1349" s="33"/>
      <c r="M1349" s="1"/>
      <c r="N1349" s="38">
        <f t="shared" si="20"/>
        <v>0</v>
      </c>
    </row>
    <row r="1350" spans="1:14" x14ac:dyDescent="0.25">
      <c r="A1350" t="s">
        <v>82</v>
      </c>
      <c r="B1350" s="43" t="s">
        <v>148</v>
      </c>
      <c r="C1350" s="62">
        <f>VLOOKUP(B1350,合并仓明细!$D$2:$F$74,3,0)</f>
        <v>452</v>
      </c>
      <c r="D1350" s="44" t="s">
        <v>25</v>
      </c>
      <c r="E1350" s="43" t="s">
        <v>303</v>
      </c>
      <c r="F1350" t="s">
        <v>66</v>
      </c>
      <c r="G1350" s="42">
        <v>82.899999999999991</v>
      </c>
      <c r="H1350"/>
      <c r="K1350" s="1"/>
      <c r="L1350" s="33"/>
      <c r="M1350" s="1"/>
      <c r="N1350" s="38">
        <f t="shared" si="20"/>
        <v>0</v>
      </c>
    </row>
    <row r="1351" spans="1:14" x14ac:dyDescent="0.25">
      <c r="A1351" t="s">
        <v>82</v>
      </c>
      <c r="B1351" s="43" t="s">
        <v>148</v>
      </c>
      <c r="C1351" s="62">
        <f>VLOOKUP(B1351,合并仓明细!$D$2:$F$74,3,0)</f>
        <v>452</v>
      </c>
      <c r="D1351" s="44" t="s">
        <v>25</v>
      </c>
      <c r="E1351" s="43" t="s">
        <v>252</v>
      </c>
      <c r="F1351" t="s">
        <v>67</v>
      </c>
      <c r="G1351" s="42">
        <v>0</v>
      </c>
      <c r="H1351">
        <v>1.057E-2</v>
      </c>
      <c r="I1351" s="38">
        <f>IF(H1351&gt;30,QUOTIENT(H1351,30)*VLOOKUP(D1351,'报价表-配送'!$B$16:$I$21,8,0),0)+IF(AND(MOD(H1351,30)&gt;18,MOD(H1351,30)&lt;=30),1,0)*VLOOKUP(D1351,'报价表-配送'!$B$16:$I$21,8,0)</f>
        <v>0</v>
      </c>
      <c r="J1351" s="38">
        <f>IF(AND(MOD(H1351,30)&gt;8,MOD(H1351,30)&lt;=18),1*VLOOKUP(D1351,'报价表-配送'!$B$16:$I$21,7,0),0)</f>
        <v>0</v>
      </c>
      <c r="K1351" s="38">
        <f>IF(AND(MOD(H1351,30)&lt;=8,MOD(H1351,30)&gt;0),1,0)*VLOOKUP(D1351,'报价表-配送'!$B$16:$I$21,6,0)</f>
        <v>0</v>
      </c>
      <c r="L1351" s="33"/>
      <c r="M1351" s="1"/>
      <c r="N1351" s="38">
        <f t="shared" si="20"/>
        <v>0</v>
      </c>
    </row>
    <row r="1352" spans="1:14" x14ac:dyDescent="0.25">
      <c r="A1352" t="s">
        <v>82</v>
      </c>
      <c r="B1352" s="43" t="s">
        <v>148</v>
      </c>
      <c r="C1352" s="62">
        <f>VLOOKUP(B1352,合并仓明细!$D$2:$F$74,3,0)</f>
        <v>452</v>
      </c>
      <c r="D1352" s="44" t="s">
        <v>25</v>
      </c>
      <c r="E1352" s="43" t="s">
        <v>252</v>
      </c>
      <c r="F1352" t="s">
        <v>66</v>
      </c>
      <c r="G1352" s="42">
        <v>10.57</v>
      </c>
      <c r="H1352"/>
      <c r="K1352" s="1"/>
      <c r="L1352" s="33"/>
      <c r="M1352" s="1"/>
      <c r="N1352" s="38">
        <f t="shared" si="20"/>
        <v>0</v>
      </c>
    </row>
    <row r="1353" spans="1:14" x14ac:dyDescent="0.25">
      <c r="A1353" t="s">
        <v>82</v>
      </c>
      <c r="B1353" s="43" t="s">
        <v>148</v>
      </c>
      <c r="C1353" s="62">
        <f>VLOOKUP(B1353,合并仓明细!$D$2:$F$74,3,0)</f>
        <v>452</v>
      </c>
      <c r="D1353" s="44" t="s">
        <v>25</v>
      </c>
      <c r="E1353" s="43" t="s">
        <v>304</v>
      </c>
      <c r="F1353" t="s">
        <v>66</v>
      </c>
      <c r="G1353" s="42">
        <v>25.8</v>
      </c>
      <c r="H1353">
        <v>2.58E-2</v>
      </c>
      <c r="K1353" s="1"/>
      <c r="L1353" s="37">
        <f>IF(H1353&gt;30,QUOTIENT(H1353,30)*VLOOKUP(D1353,'报价表-配送'!$B$16:$I$21,8,0),0)+IF(AND(MOD(H1353,30)&gt;18,MOD(H1353,30)&lt;=30),1,0)*VLOOKUP(D1353,'报价表-配送'!$B$16:$I$21,8,0)+IF(AND(MOD(H1353,30)&gt;8,MOD(H1353,30)&lt;=18),1*VLOOKUP(D1353,'报价表-配送'!$B$16:$I$21,7,0),0)+IF(AND(MOD(H1353,30)&lt;=8,MOD(H1353,30)&gt;2.5),1,0)*VLOOKUP(D1353,'报价表-配送'!$B$16:$I$21,6,0)+IF(AND(MOD(H1353,30)&lt;=2.5,MOD(H1353,30)&gt;=1.5),1,0)*VLOOKUP(D1353,'报价表-配送'!$B$16:$I$21,5,0)</f>
        <v>0</v>
      </c>
      <c r="M1353" s="39">
        <f>IF(AND(MOD(H1353,30)&lt;1.5,MOD(H1353,30)&gt;=0.5),H1353,0)*VLOOKUP(D1353,'报价表-配送'!$B$16:$I$21,4,0)*1000+IF(AND(MOD(H1353,30)&lt;0.5,MOD(H1353,30)&gt;=0.02),H1353,0)*VLOOKUP(D1353,'报价表-配送'!$B$16:$I$21,3,0)*1000+IF(AND(MOD(H1353,30)&lt;0.02),H1353,0)*VLOOKUP(D1353,'报价表-配送'!$B$16:$I$21,2,0)*1000</f>
        <v>0</v>
      </c>
      <c r="N1353" s="38">
        <f t="shared" si="20"/>
        <v>0</v>
      </c>
    </row>
    <row r="1354" spans="1:14" x14ac:dyDescent="0.25">
      <c r="A1354" t="s">
        <v>82</v>
      </c>
      <c r="B1354" s="43" t="s">
        <v>148</v>
      </c>
      <c r="C1354" s="62">
        <f>VLOOKUP(B1354,合并仓明细!$D$2:$F$74,3,0)</f>
        <v>452</v>
      </c>
      <c r="D1354" s="44" t="s">
        <v>25</v>
      </c>
      <c r="E1354" s="43" t="s">
        <v>305</v>
      </c>
      <c r="F1354" t="s">
        <v>66</v>
      </c>
      <c r="G1354" s="42">
        <v>34.36</v>
      </c>
      <c r="H1354">
        <v>3.4360000000000002E-2</v>
      </c>
      <c r="K1354" s="1"/>
      <c r="L1354" s="37">
        <f>IF(H1354&gt;30,QUOTIENT(H1354,30)*VLOOKUP(D1354,'报价表-配送'!$B$16:$I$21,8,0),0)+IF(AND(MOD(H1354,30)&gt;18,MOD(H1354,30)&lt;=30),1,0)*VLOOKUP(D1354,'报价表-配送'!$B$16:$I$21,8,0)+IF(AND(MOD(H1354,30)&gt;8,MOD(H1354,30)&lt;=18),1*VLOOKUP(D1354,'报价表-配送'!$B$16:$I$21,7,0),0)+IF(AND(MOD(H1354,30)&lt;=8,MOD(H1354,30)&gt;2.5),1,0)*VLOOKUP(D1354,'报价表-配送'!$B$16:$I$21,6,0)+IF(AND(MOD(H1354,30)&lt;=2.5,MOD(H1354,30)&gt;=1.5),1,0)*VLOOKUP(D1354,'报价表-配送'!$B$16:$I$21,5,0)</f>
        <v>0</v>
      </c>
      <c r="M1354" s="39">
        <f>IF(AND(MOD(H1354,30)&lt;1.5,MOD(H1354,30)&gt;=0.5),H1354,0)*VLOOKUP(D1354,'报价表-配送'!$B$16:$I$21,4,0)*1000+IF(AND(MOD(H1354,30)&lt;0.5,MOD(H1354,30)&gt;=0.02),H1354,0)*VLOOKUP(D1354,'报价表-配送'!$B$16:$I$21,3,0)*1000+IF(AND(MOD(H1354,30)&lt;0.02),H1354,0)*VLOOKUP(D1354,'报价表-配送'!$B$16:$I$21,2,0)*1000</f>
        <v>0</v>
      </c>
      <c r="N1354" s="38">
        <f t="shared" si="20"/>
        <v>0</v>
      </c>
    </row>
    <row r="1355" spans="1:14" x14ac:dyDescent="0.25">
      <c r="A1355" t="s">
        <v>82</v>
      </c>
      <c r="B1355" s="43" t="s">
        <v>149</v>
      </c>
      <c r="C1355" s="62">
        <f>VLOOKUP(B1355,合并仓明细!$D$2:$F$74,3,0)</f>
        <v>231</v>
      </c>
      <c r="D1355" s="44" t="s">
        <v>414</v>
      </c>
      <c r="E1355" s="43" t="s">
        <v>256</v>
      </c>
      <c r="F1355" t="s">
        <v>66</v>
      </c>
      <c r="G1355" s="42">
        <v>37.200000000000003</v>
      </c>
      <c r="H1355">
        <v>3.7200000000000004E-2</v>
      </c>
      <c r="K1355" s="1"/>
      <c r="L1355" s="37">
        <f>IF(H1355&gt;30,QUOTIENT(H1355,30)*VLOOKUP(D1355,'报价表-配送'!$B$16:$I$21,8,0),0)+IF(AND(MOD(H1355,30)&gt;18,MOD(H1355,30)&lt;=30),1,0)*VLOOKUP(D1355,'报价表-配送'!$B$16:$I$21,8,0)+IF(AND(MOD(H1355,30)&gt;8,MOD(H1355,30)&lt;=18),1*VLOOKUP(D1355,'报价表-配送'!$B$16:$I$21,7,0),0)+IF(AND(MOD(H1355,30)&lt;=8,MOD(H1355,30)&gt;2.5),1,0)*VLOOKUP(D1355,'报价表-配送'!$B$16:$I$21,6,0)+IF(AND(MOD(H1355,30)&lt;=2.5,MOD(H1355,30)&gt;=1.5),1,0)*VLOOKUP(D1355,'报价表-配送'!$B$16:$I$21,5,0)</f>
        <v>0</v>
      </c>
      <c r="M1355" s="39">
        <f>IF(AND(MOD(H1355,30)&lt;1.5,MOD(H1355,30)&gt;=0.5),H1355,0)*VLOOKUP(D1355,'报价表-配送'!$B$16:$I$21,4,0)*1000+IF(AND(MOD(H1355,30)&lt;0.5,MOD(H1355,30)&gt;=0.02),H1355,0)*VLOOKUP(D1355,'报价表-配送'!$B$16:$I$21,3,0)*1000+IF(AND(MOD(H1355,30)&lt;0.02),H1355,0)*VLOOKUP(D1355,'报价表-配送'!$B$16:$I$21,2,0)*1000</f>
        <v>0</v>
      </c>
      <c r="N1355" s="38">
        <f t="shared" si="20"/>
        <v>0</v>
      </c>
    </row>
    <row r="1356" spans="1:14" x14ac:dyDescent="0.25">
      <c r="A1356" t="s">
        <v>82</v>
      </c>
      <c r="B1356" s="43" t="s">
        <v>149</v>
      </c>
      <c r="C1356" s="62">
        <f>VLOOKUP(B1356,合并仓明细!$D$2:$F$74,3,0)</f>
        <v>231</v>
      </c>
      <c r="D1356" s="44" t="s">
        <v>414</v>
      </c>
      <c r="E1356" s="43" t="s">
        <v>362</v>
      </c>
      <c r="F1356" t="s">
        <v>66</v>
      </c>
      <c r="G1356" s="42">
        <v>16.28</v>
      </c>
      <c r="H1356">
        <v>1.6280000000000003E-2</v>
      </c>
      <c r="K1356" s="1"/>
      <c r="L1356" s="37">
        <f>IF(H1356&gt;30,QUOTIENT(H1356,30)*VLOOKUP(D1356,'报价表-配送'!$B$16:$I$21,8,0),0)+IF(AND(MOD(H1356,30)&gt;18,MOD(H1356,30)&lt;=30),1,0)*VLOOKUP(D1356,'报价表-配送'!$B$16:$I$21,8,0)+IF(AND(MOD(H1356,30)&gt;8,MOD(H1356,30)&lt;=18),1*VLOOKUP(D1356,'报价表-配送'!$B$16:$I$21,7,0),0)+IF(AND(MOD(H1356,30)&lt;=8,MOD(H1356,30)&gt;2.5),1,0)*VLOOKUP(D1356,'报价表-配送'!$B$16:$I$21,6,0)+IF(AND(MOD(H1356,30)&lt;=2.5,MOD(H1356,30)&gt;=1.5),1,0)*VLOOKUP(D1356,'报价表-配送'!$B$16:$I$21,5,0)</f>
        <v>0</v>
      </c>
      <c r="M1356" s="39">
        <f>IF(AND(MOD(H1356,30)&lt;1.5,MOD(H1356,30)&gt;=0.5),H1356,0)*VLOOKUP(D1356,'报价表-配送'!$B$16:$I$21,4,0)*1000+IF(AND(MOD(H1356,30)&lt;0.5,MOD(H1356,30)&gt;=0.02),H1356,0)*VLOOKUP(D1356,'报价表-配送'!$B$16:$I$21,3,0)*1000+IF(AND(MOD(H1356,30)&lt;0.02),H1356,0)*VLOOKUP(D1356,'报价表-配送'!$B$16:$I$21,2,0)*1000</f>
        <v>0</v>
      </c>
      <c r="N1356" s="38">
        <f t="shared" si="20"/>
        <v>0</v>
      </c>
    </row>
    <row r="1357" spans="1:14" x14ac:dyDescent="0.25">
      <c r="A1357" t="s">
        <v>82</v>
      </c>
      <c r="B1357" s="43" t="s">
        <v>149</v>
      </c>
      <c r="C1357" s="62">
        <f>VLOOKUP(B1357,合并仓明细!$D$2:$F$74,3,0)</f>
        <v>231</v>
      </c>
      <c r="D1357" s="44" t="s">
        <v>414</v>
      </c>
      <c r="E1357" s="43" t="s">
        <v>278</v>
      </c>
      <c r="F1357" t="s">
        <v>66</v>
      </c>
      <c r="G1357" s="42">
        <v>1114.96</v>
      </c>
      <c r="H1357">
        <v>1.11496</v>
      </c>
      <c r="K1357" s="1"/>
      <c r="L1357" s="37">
        <f>IF(H1357&gt;30,QUOTIENT(H1357,30)*VLOOKUP(D1357,'报价表-配送'!$B$16:$I$21,8,0),0)+IF(AND(MOD(H1357,30)&gt;18,MOD(H1357,30)&lt;=30),1,0)*VLOOKUP(D1357,'报价表-配送'!$B$16:$I$21,8,0)+IF(AND(MOD(H1357,30)&gt;8,MOD(H1357,30)&lt;=18),1*VLOOKUP(D1357,'报价表-配送'!$B$16:$I$21,7,0),0)+IF(AND(MOD(H1357,30)&lt;=8,MOD(H1357,30)&gt;2.5),1,0)*VLOOKUP(D1357,'报价表-配送'!$B$16:$I$21,6,0)+IF(AND(MOD(H1357,30)&lt;=2.5,MOD(H1357,30)&gt;=1.5),1,0)*VLOOKUP(D1357,'报价表-配送'!$B$16:$I$21,5,0)</f>
        <v>0</v>
      </c>
      <c r="M1357" s="39">
        <f>IF(AND(MOD(H1357,30)&lt;1.5,MOD(H1357,30)&gt;=0.5),H1357,0)*VLOOKUP(D1357,'报价表-配送'!$B$16:$I$21,4,0)*1000+IF(AND(MOD(H1357,30)&lt;0.5,MOD(H1357,30)&gt;=0.02),H1357,0)*VLOOKUP(D1357,'报价表-配送'!$B$16:$I$21,3,0)*1000+IF(AND(MOD(H1357,30)&lt;0.02),H1357,0)*VLOOKUP(D1357,'报价表-配送'!$B$16:$I$21,2,0)*1000</f>
        <v>0</v>
      </c>
      <c r="N1357" s="38">
        <f t="shared" si="20"/>
        <v>0</v>
      </c>
    </row>
    <row r="1358" spans="1:14" x14ac:dyDescent="0.25">
      <c r="A1358" t="s">
        <v>82</v>
      </c>
      <c r="B1358" s="43" t="s">
        <v>149</v>
      </c>
      <c r="C1358" s="62">
        <f>VLOOKUP(B1358,合并仓明细!$D$2:$F$74,3,0)</f>
        <v>231</v>
      </c>
      <c r="D1358" s="44" t="s">
        <v>414</v>
      </c>
      <c r="E1358" s="43" t="s">
        <v>323</v>
      </c>
      <c r="F1358" t="s">
        <v>67</v>
      </c>
      <c r="G1358" s="42">
        <v>8290.07</v>
      </c>
      <c r="H1358">
        <v>9.0628799999999998</v>
      </c>
      <c r="I1358" s="38">
        <f>IF(H1358&gt;30,QUOTIENT(H1358,30)*VLOOKUP(D1358,'报价表-配送'!$B$16:$I$21,8,0),0)+IF(AND(MOD(H1358,30)&gt;18,MOD(H1358,30)&lt;=30),1,0)*VLOOKUP(D1358,'报价表-配送'!$B$16:$I$21,8,0)</f>
        <v>0</v>
      </c>
      <c r="J1358" s="38">
        <f>IF(AND(MOD(H1358,30)&gt;8,MOD(H1358,30)&lt;=18),1*VLOOKUP(D1358,'报价表-配送'!$B$16:$I$21,7,0),0)</f>
        <v>0</v>
      </c>
      <c r="K1358" s="38">
        <f>IF(AND(MOD(H1358,30)&lt;=8,MOD(H1358,30)&gt;0),1,0)*VLOOKUP(D1358,'报价表-配送'!$B$16:$I$21,6,0)</f>
        <v>0</v>
      </c>
      <c r="L1358" s="33"/>
      <c r="M1358" s="1"/>
      <c r="N1358" s="38">
        <f t="shared" si="20"/>
        <v>0</v>
      </c>
    </row>
    <row r="1359" spans="1:14" x14ac:dyDescent="0.25">
      <c r="A1359" t="s">
        <v>82</v>
      </c>
      <c r="B1359" s="43" t="s">
        <v>149</v>
      </c>
      <c r="C1359" s="62">
        <f>VLOOKUP(B1359,合并仓明细!$D$2:$F$74,3,0)</f>
        <v>231</v>
      </c>
      <c r="D1359" s="44" t="s">
        <v>414</v>
      </c>
      <c r="E1359" s="43" t="s">
        <v>323</v>
      </c>
      <c r="F1359" t="s">
        <v>66</v>
      </c>
      <c r="G1359" s="42">
        <v>772.81000000000006</v>
      </c>
      <c r="H1359"/>
      <c r="K1359" s="1"/>
      <c r="L1359" s="33"/>
      <c r="M1359" s="1"/>
      <c r="N1359" s="38">
        <f t="shared" si="20"/>
        <v>0</v>
      </c>
    </row>
    <row r="1360" spans="1:14" x14ac:dyDescent="0.25">
      <c r="A1360" t="s">
        <v>82</v>
      </c>
      <c r="B1360" s="45" t="s">
        <v>149</v>
      </c>
      <c r="C1360" s="62">
        <f>VLOOKUP(B1360,合并仓明细!$D$2:$F$74,3,0)</f>
        <v>231</v>
      </c>
      <c r="D1360" s="44" t="s">
        <v>414</v>
      </c>
      <c r="E1360" s="43" t="s">
        <v>290</v>
      </c>
      <c r="F1360" t="s">
        <v>66</v>
      </c>
      <c r="G1360" s="42">
        <v>27.6</v>
      </c>
      <c r="H1360">
        <v>2.7600000000000003E-2</v>
      </c>
      <c r="K1360" s="1"/>
      <c r="L1360" s="37">
        <f>IF(H1360&gt;30,QUOTIENT(H1360,30)*VLOOKUP(D1360,'报价表-配送'!$B$16:$I$21,8,0),0)+IF(AND(MOD(H1360,30)&gt;18,MOD(H1360,30)&lt;=30),1,0)*VLOOKUP(D1360,'报价表-配送'!$B$16:$I$21,8,0)+IF(AND(MOD(H1360,30)&gt;8,MOD(H1360,30)&lt;=18),1*VLOOKUP(D1360,'报价表-配送'!$B$16:$I$21,7,0),0)+IF(AND(MOD(H1360,30)&lt;=8,MOD(H1360,30)&gt;2.5),1,0)*VLOOKUP(D1360,'报价表-配送'!$B$16:$I$21,6,0)+IF(AND(MOD(H1360,30)&lt;=2.5,MOD(H1360,30)&gt;=1.5),1,0)*VLOOKUP(D1360,'报价表-配送'!$B$16:$I$21,5,0)</f>
        <v>0</v>
      </c>
      <c r="M1360" s="39">
        <f>IF(AND(MOD(H1360,30)&lt;1.5,MOD(H1360,30)&gt;=0.5),H1360,0)*VLOOKUP(D1360,'报价表-配送'!$B$16:$I$21,4,0)*1000+IF(AND(MOD(H1360,30)&lt;0.5,MOD(H1360,30)&gt;=0.02),H1360,0)*VLOOKUP(D1360,'报价表-配送'!$B$16:$I$21,3,0)*1000+IF(AND(MOD(H1360,30)&lt;0.02),H1360,0)*VLOOKUP(D1360,'报价表-配送'!$B$16:$I$21,2,0)*1000</f>
        <v>0</v>
      </c>
      <c r="N1360" s="38">
        <f t="shared" si="20"/>
        <v>0</v>
      </c>
    </row>
    <row r="1361" spans="1:15" x14ac:dyDescent="0.25">
      <c r="A1361" s="37" t="s">
        <v>82</v>
      </c>
      <c r="B1361" s="49" t="s">
        <v>149</v>
      </c>
      <c r="C1361" s="62">
        <f>VLOOKUP(B1361,合并仓明细!$D$2:$F$74,3,0)</f>
        <v>231</v>
      </c>
      <c r="D1361" s="44" t="s">
        <v>414</v>
      </c>
      <c r="E1361" s="47" t="s">
        <v>293</v>
      </c>
      <c r="F1361" s="49" t="s">
        <v>66</v>
      </c>
      <c r="G1361" s="50">
        <v>36.799999999999997</v>
      </c>
      <c r="H1361" s="50">
        <v>3.6799999999999999E-2</v>
      </c>
      <c r="I1361" s="38"/>
      <c r="J1361" s="38"/>
      <c r="K1361" s="38"/>
      <c r="L1361" s="37">
        <f>IF(H1361&gt;30,QUOTIENT(H1361,30)*VLOOKUP(D1361,'报价表-配送'!$B$16:$I$21,8,0),0)+IF(AND(MOD(H1361,30)&gt;18,MOD(H1361,30)&lt;=30),1,0)*VLOOKUP(D1361,'报价表-配送'!$B$16:$I$21,8,0)+IF(AND(MOD(H1361,30)&gt;8,MOD(H1361,30)&lt;=18),1*VLOOKUP(D1361,'报价表-配送'!$B$16:$I$21,7,0),0)+IF(AND(MOD(H1361,30)&lt;=8,MOD(H1361,30)&gt;2.5),1,0)*VLOOKUP(D1361,'报价表-配送'!$B$16:$I$21,6,0)+IF(AND(MOD(H1361,30)&lt;=2.5,MOD(H1361,30)&gt;=1.5),1,0)*VLOOKUP(D1361,'报价表-配送'!$B$16:$I$21,5,0)</f>
        <v>0</v>
      </c>
      <c r="M1361" s="39">
        <f>IF(AND(MOD(H1361,30)&lt;1.5,MOD(H1361,30)&gt;=0.5),H1361,0)*VLOOKUP(D1361,'报价表-配送'!$B$16:$I$21,4,0)*1000+IF(AND(MOD(H1361,30)&lt;0.5,MOD(H1361,30)&gt;=0.02),H1361,0)*VLOOKUP(D1361,'报价表-配送'!$B$16:$I$21,3,0)*1000+IF(AND(MOD(H1361,30)&lt;0.02),H1361,0)*VLOOKUP(D1361,'报价表-配送'!$B$16:$I$21,2,0)*1000</f>
        <v>0</v>
      </c>
      <c r="N1361" s="38">
        <f t="shared" si="20"/>
        <v>0</v>
      </c>
      <c r="O1361" s="37"/>
    </row>
    <row r="1362" spans="1:15" x14ac:dyDescent="0.25">
      <c r="A1362" s="37" t="s">
        <v>82</v>
      </c>
      <c r="B1362" s="49" t="s">
        <v>149</v>
      </c>
      <c r="C1362" s="62">
        <f>VLOOKUP(B1362,合并仓明细!$D$2:$F$74,3,0)</f>
        <v>231</v>
      </c>
      <c r="D1362" s="44" t="s">
        <v>414</v>
      </c>
      <c r="E1362" s="47" t="s">
        <v>370</v>
      </c>
      <c r="F1362" s="48" t="s">
        <v>66</v>
      </c>
      <c r="G1362" s="37">
        <v>662.13</v>
      </c>
      <c r="H1362" s="37">
        <v>0.66213</v>
      </c>
      <c r="I1362" s="38"/>
      <c r="J1362" s="38"/>
      <c r="K1362" s="38"/>
      <c r="L1362" s="37">
        <f>IF(H1362&gt;30,QUOTIENT(H1362,30)*VLOOKUP(D1362,'报价表-配送'!$B$16:$I$21,8,0),0)+IF(AND(MOD(H1362,30)&gt;18,MOD(H1362,30)&lt;=30),1,0)*VLOOKUP(D1362,'报价表-配送'!$B$16:$I$21,8,0)+IF(AND(MOD(H1362,30)&gt;8,MOD(H1362,30)&lt;=18),1*VLOOKUP(D1362,'报价表-配送'!$B$16:$I$21,7,0),0)+IF(AND(MOD(H1362,30)&lt;=8,MOD(H1362,30)&gt;2.5),1,0)*VLOOKUP(D1362,'报价表-配送'!$B$16:$I$21,6,0)+IF(AND(MOD(H1362,30)&lt;=2.5,MOD(H1362,30)&gt;=1.5),1,0)*VLOOKUP(D1362,'报价表-配送'!$B$16:$I$21,5,0)</f>
        <v>0</v>
      </c>
      <c r="M1362" s="39">
        <f>IF(AND(MOD(H1362,30)&lt;1.5,MOD(H1362,30)&gt;=0.5),H1362,0)*VLOOKUP(D1362,'报价表-配送'!$B$16:$I$21,4,0)*1000+IF(AND(MOD(H1362,30)&lt;0.5,MOD(H1362,30)&gt;=0.02),H1362,0)*VLOOKUP(D1362,'报价表-配送'!$B$16:$I$21,3,0)*1000+IF(AND(MOD(H1362,30)&lt;0.02),H1362,0)*VLOOKUP(D1362,'报价表-配送'!$B$16:$I$21,2,0)*1000</f>
        <v>0</v>
      </c>
      <c r="N1362" s="38">
        <f t="shared" si="20"/>
        <v>0</v>
      </c>
      <c r="O1362" s="37"/>
    </row>
    <row r="1363" spans="1:15" x14ac:dyDescent="0.25">
      <c r="A1363" s="37" t="s">
        <v>82</v>
      </c>
      <c r="B1363" s="49" t="s">
        <v>149</v>
      </c>
      <c r="C1363" s="62">
        <f>VLOOKUP(B1363,合并仓明细!$D$2:$F$74,3,0)</f>
        <v>231</v>
      </c>
      <c r="D1363" s="44" t="s">
        <v>414</v>
      </c>
      <c r="E1363" s="47" t="s">
        <v>249</v>
      </c>
      <c r="F1363" s="48" t="s">
        <v>66</v>
      </c>
      <c r="G1363" s="37">
        <v>724.74000000000012</v>
      </c>
      <c r="H1363" s="37">
        <v>0.72474000000000016</v>
      </c>
      <c r="I1363" s="37"/>
      <c r="J1363" s="37"/>
      <c r="K1363" s="37"/>
      <c r="L1363" s="37">
        <f>IF(H1363&gt;30,QUOTIENT(H1363,30)*VLOOKUP(D1363,'报价表-配送'!$B$16:$I$21,8,0),0)+IF(AND(MOD(H1363,30)&gt;18,MOD(H1363,30)&lt;=30),1,0)*VLOOKUP(D1363,'报价表-配送'!$B$16:$I$21,8,0)+IF(AND(MOD(H1363,30)&gt;8,MOD(H1363,30)&lt;=18),1*VLOOKUP(D1363,'报价表-配送'!$B$16:$I$21,7,0),0)+IF(AND(MOD(H1363,30)&lt;=8,MOD(H1363,30)&gt;2.5),1,0)*VLOOKUP(D1363,'报价表-配送'!$B$16:$I$21,6,0)+IF(AND(MOD(H1363,30)&lt;=2.5,MOD(H1363,30)&gt;=1.5),1,0)*VLOOKUP(D1363,'报价表-配送'!$B$16:$I$21,5,0)</f>
        <v>0</v>
      </c>
      <c r="M1363" s="39">
        <f>IF(AND(MOD(H1363,30)&lt;1.5,MOD(H1363,30)&gt;=0.5),H1363,0)*VLOOKUP(D1363,'报价表-配送'!$B$16:$I$21,4,0)*1000+IF(AND(MOD(H1363,30)&lt;0.5,MOD(H1363,30)&gt;=0.02),H1363,0)*VLOOKUP(D1363,'报价表-配送'!$B$16:$I$21,3,0)*1000+IF(AND(MOD(H1363,30)&lt;0.02),H1363,0)*VLOOKUP(D1363,'报价表-配送'!$B$16:$I$21,2,0)*1000</f>
        <v>0</v>
      </c>
      <c r="N1363" s="38">
        <f t="shared" si="20"/>
        <v>0</v>
      </c>
      <c r="O1363" s="37"/>
    </row>
    <row r="1364" spans="1:15" x14ac:dyDescent="0.25">
      <c r="A1364" s="37" t="s">
        <v>82</v>
      </c>
      <c r="B1364" s="49" t="s">
        <v>149</v>
      </c>
      <c r="C1364" s="62">
        <f>VLOOKUP(B1364,合并仓明细!$D$2:$F$74,3,0)</f>
        <v>231</v>
      </c>
      <c r="D1364" s="44" t="s">
        <v>414</v>
      </c>
      <c r="E1364" s="47" t="s">
        <v>250</v>
      </c>
      <c r="F1364" s="48" t="s">
        <v>66</v>
      </c>
      <c r="G1364" s="37">
        <v>44.2</v>
      </c>
      <c r="H1364" s="38">
        <v>4.4200000000000003E-2</v>
      </c>
      <c r="I1364" s="37"/>
      <c r="J1364" s="37"/>
      <c r="K1364" s="37"/>
      <c r="L1364" s="37">
        <f>IF(H1364&gt;30,QUOTIENT(H1364,30)*VLOOKUP(D1364,'报价表-配送'!$B$16:$I$21,8,0),0)+IF(AND(MOD(H1364,30)&gt;18,MOD(H1364,30)&lt;=30),1,0)*VLOOKUP(D1364,'报价表-配送'!$B$16:$I$21,8,0)+IF(AND(MOD(H1364,30)&gt;8,MOD(H1364,30)&lt;=18),1*VLOOKUP(D1364,'报价表-配送'!$B$16:$I$21,7,0),0)+IF(AND(MOD(H1364,30)&lt;=8,MOD(H1364,30)&gt;2.5),1,0)*VLOOKUP(D1364,'报价表-配送'!$B$16:$I$21,6,0)+IF(AND(MOD(H1364,30)&lt;=2.5,MOD(H1364,30)&gt;=1.5),1,0)*VLOOKUP(D1364,'报价表-配送'!$B$16:$I$21,5,0)</f>
        <v>0</v>
      </c>
      <c r="M1364" s="39">
        <f>IF(AND(MOD(H1364,30)&lt;1.5,MOD(H1364,30)&gt;=0.5),H1364,0)*VLOOKUP(D1364,'报价表-配送'!$B$16:$I$21,4,0)*1000+IF(AND(MOD(H1364,30)&lt;0.5,MOD(H1364,30)&gt;=0.02),H1364,0)*VLOOKUP(D1364,'报价表-配送'!$B$16:$I$21,3,0)*1000+IF(AND(MOD(H1364,30)&lt;0.02),H1364,0)*VLOOKUP(D1364,'报价表-配送'!$B$16:$I$21,2,0)*1000</f>
        <v>0</v>
      </c>
      <c r="N1364" s="38">
        <f t="shared" si="20"/>
        <v>0</v>
      </c>
      <c r="O1364" s="37"/>
    </row>
    <row r="1365" spans="1:15" x14ac:dyDescent="0.25">
      <c r="A1365" s="37" t="s">
        <v>82</v>
      </c>
      <c r="B1365" s="49" t="s">
        <v>149</v>
      </c>
      <c r="C1365" s="62">
        <f>VLOOKUP(B1365,合并仓明细!$D$2:$F$74,3,0)</f>
        <v>231</v>
      </c>
      <c r="D1365" s="44" t="s">
        <v>414</v>
      </c>
      <c r="E1365" s="47" t="s">
        <v>327</v>
      </c>
      <c r="F1365" s="48" t="s">
        <v>66</v>
      </c>
      <c r="G1365" s="37">
        <v>54.6</v>
      </c>
      <c r="H1365" s="38">
        <v>5.4600000000000003E-2</v>
      </c>
      <c r="I1365" s="37"/>
      <c r="J1365" s="37"/>
      <c r="K1365" s="37"/>
      <c r="L1365" s="37">
        <f>IF(H1365&gt;30,QUOTIENT(H1365,30)*VLOOKUP(D1365,'报价表-配送'!$B$16:$I$21,8,0),0)+IF(AND(MOD(H1365,30)&gt;18,MOD(H1365,30)&lt;=30),1,0)*VLOOKUP(D1365,'报价表-配送'!$B$16:$I$21,8,0)+IF(AND(MOD(H1365,30)&gt;8,MOD(H1365,30)&lt;=18),1*VLOOKUP(D1365,'报价表-配送'!$B$16:$I$21,7,0),0)+IF(AND(MOD(H1365,30)&lt;=8,MOD(H1365,30)&gt;2.5),1,0)*VLOOKUP(D1365,'报价表-配送'!$B$16:$I$21,6,0)+IF(AND(MOD(H1365,30)&lt;=2.5,MOD(H1365,30)&gt;=1.5),1,0)*VLOOKUP(D1365,'报价表-配送'!$B$16:$I$21,5,0)</f>
        <v>0</v>
      </c>
      <c r="M1365" s="39">
        <f>IF(AND(MOD(H1365,30)&lt;1.5,MOD(H1365,30)&gt;=0.5),H1365,0)*VLOOKUP(D1365,'报价表-配送'!$B$16:$I$21,4,0)*1000+IF(AND(MOD(H1365,30)&lt;0.5,MOD(H1365,30)&gt;=0.02),H1365,0)*VLOOKUP(D1365,'报价表-配送'!$B$16:$I$21,3,0)*1000+IF(AND(MOD(H1365,30)&lt;0.02),H1365,0)*VLOOKUP(D1365,'报价表-配送'!$B$16:$I$21,2,0)*1000</f>
        <v>0</v>
      </c>
      <c r="N1365" s="38">
        <f t="shared" si="20"/>
        <v>0</v>
      </c>
      <c r="O1365" s="37"/>
    </row>
    <row r="1366" spans="1:15" x14ac:dyDescent="0.25">
      <c r="A1366" s="37" t="s">
        <v>82</v>
      </c>
      <c r="B1366" s="49" t="s">
        <v>149</v>
      </c>
      <c r="C1366" s="62">
        <f>VLOOKUP(B1366,合并仓明细!$D$2:$F$74,3,0)</f>
        <v>231</v>
      </c>
      <c r="D1366" s="44" t="s">
        <v>414</v>
      </c>
      <c r="E1366" s="47" t="s">
        <v>251</v>
      </c>
      <c r="F1366" s="48" t="s">
        <v>66</v>
      </c>
      <c r="G1366" s="37">
        <v>376.5</v>
      </c>
      <c r="H1366" s="38">
        <v>0.3765</v>
      </c>
      <c r="I1366" s="37"/>
      <c r="J1366" s="37"/>
      <c r="K1366" s="37"/>
      <c r="L1366" s="37">
        <f>IF(H1366&gt;30,QUOTIENT(H1366,30)*VLOOKUP(D1366,'报价表-配送'!$B$16:$I$21,8,0),0)+IF(AND(MOD(H1366,30)&gt;18,MOD(H1366,30)&lt;=30),1,0)*VLOOKUP(D1366,'报价表-配送'!$B$16:$I$21,8,0)+IF(AND(MOD(H1366,30)&gt;8,MOD(H1366,30)&lt;=18),1*VLOOKUP(D1366,'报价表-配送'!$B$16:$I$21,7,0),0)+IF(AND(MOD(H1366,30)&lt;=8,MOD(H1366,30)&gt;2.5),1,0)*VLOOKUP(D1366,'报价表-配送'!$B$16:$I$21,6,0)+IF(AND(MOD(H1366,30)&lt;=2.5,MOD(H1366,30)&gt;=1.5),1,0)*VLOOKUP(D1366,'报价表-配送'!$B$16:$I$21,5,0)</f>
        <v>0</v>
      </c>
      <c r="M1366" s="39">
        <f>IF(AND(MOD(H1366,30)&lt;1.5,MOD(H1366,30)&gt;=0.5),H1366,0)*VLOOKUP(D1366,'报价表-配送'!$B$16:$I$21,4,0)*1000+IF(AND(MOD(H1366,30)&lt;0.5,MOD(H1366,30)&gt;=0.02),H1366,0)*VLOOKUP(D1366,'报价表-配送'!$B$16:$I$21,3,0)*1000+IF(AND(MOD(H1366,30)&lt;0.02),H1366,0)*VLOOKUP(D1366,'报价表-配送'!$B$16:$I$21,2,0)*1000</f>
        <v>0</v>
      </c>
      <c r="N1366" s="38">
        <f t="shared" si="20"/>
        <v>0</v>
      </c>
      <c r="O1366" s="37"/>
    </row>
    <row r="1367" spans="1:15" x14ac:dyDescent="0.25">
      <c r="A1367" s="37" t="s">
        <v>82</v>
      </c>
      <c r="B1367" s="49" t="s">
        <v>149</v>
      </c>
      <c r="C1367" s="62">
        <f>VLOOKUP(B1367,合并仓明细!$D$2:$F$74,3,0)</f>
        <v>231</v>
      </c>
      <c r="D1367" s="44" t="s">
        <v>414</v>
      </c>
      <c r="E1367" s="47" t="s">
        <v>328</v>
      </c>
      <c r="F1367" s="49" t="s">
        <v>66</v>
      </c>
      <c r="G1367" s="50">
        <v>88.75</v>
      </c>
      <c r="H1367" s="50">
        <v>8.8749999999999996E-2</v>
      </c>
      <c r="I1367" s="38"/>
      <c r="J1367" s="38"/>
      <c r="K1367" s="38"/>
      <c r="L1367" s="37">
        <f>IF(H1367&gt;30,QUOTIENT(H1367,30)*VLOOKUP(D1367,'报价表-配送'!$B$16:$I$21,8,0),0)+IF(AND(MOD(H1367,30)&gt;18,MOD(H1367,30)&lt;=30),1,0)*VLOOKUP(D1367,'报价表-配送'!$B$16:$I$21,8,0)+IF(AND(MOD(H1367,30)&gt;8,MOD(H1367,30)&lt;=18),1*VLOOKUP(D1367,'报价表-配送'!$B$16:$I$21,7,0),0)+IF(AND(MOD(H1367,30)&lt;=8,MOD(H1367,30)&gt;2.5),1,0)*VLOOKUP(D1367,'报价表-配送'!$B$16:$I$21,6,0)+IF(AND(MOD(H1367,30)&lt;=2.5,MOD(H1367,30)&gt;=1.5),1,0)*VLOOKUP(D1367,'报价表-配送'!$B$16:$I$21,5,0)</f>
        <v>0</v>
      </c>
      <c r="M1367" s="39">
        <f>IF(AND(MOD(H1367,30)&lt;1.5,MOD(H1367,30)&gt;=0.5),H1367,0)*VLOOKUP(D1367,'报价表-配送'!$B$16:$I$21,4,0)*1000+IF(AND(MOD(H1367,30)&lt;0.5,MOD(H1367,30)&gt;=0.02),H1367,0)*VLOOKUP(D1367,'报价表-配送'!$B$16:$I$21,3,0)*1000+IF(AND(MOD(H1367,30)&lt;0.02),H1367,0)*VLOOKUP(D1367,'报价表-配送'!$B$16:$I$21,2,0)*1000</f>
        <v>0</v>
      </c>
      <c r="N1367" s="38">
        <f t="shared" si="20"/>
        <v>0</v>
      </c>
      <c r="O1367" s="37"/>
    </row>
    <row r="1368" spans="1:15" x14ac:dyDescent="0.25">
      <c r="A1368" s="37" t="s">
        <v>82</v>
      </c>
      <c r="B1368" s="49" t="s">
        <v>234</v>
      </c>
      <c r="C1368" s="62">
        <f>VLOOKUP(B1368,合并仓明细!$D$2:$F$74,3,0)</f>
        <v>201</v>
      </c>
      <c r="D1368" s="44" t="s">
        <v>414</v>
      </c>
      <c r="E1368" s="47" t="s">
        <v>368</v>
      </c>
      <c r="F1368" s="48" t="s">
        <v>68</v>
      </c>
      <c r="G1368" s="37">
        <v>849.6099999999999</v>
      </c>
      <c r="H1368" s="37">
        <v>0.84960999999999987</v>
      </c>
      <c r="I1368" s="46">
        <f>ROUNDUP(H1368/30,0)*VLOOKUP(D1368,'报价表-配送'!$B$16:$I$21,8,0)</f>
        <v>0</v>
      </c>
      <c r="J1368" s="38"/>
      <c r="K1368" s="38"/>
      <c r="L1368" s="37"/>
      <c r="M1368" s="37"/>
      <c r="N1368" s="38">
        <f t="shared" si="20"/>
        <v>0</v>
      </c>
      <c r="O1368" s="37"/>
    </row>
    <row r="1369" spans="1:15" x14ac:dyDescent="0.25">
      <c r="A1369" s="37" t="s">
        <v>82</v>
      </c>
      <c r="B1369" s="49" t="s">
        <v>234</v>
      </c>
      <c r="C1369" s="62">
        <f>VLOOKUP(B1369,合并仓明细!$D$2:$F$74,3,0)</f>
        <v>201</v>
      </c>
      <c r="D1369" s="44" t="s">
        <v>414</v>
      </c>
      <c r="E1369" s="47" t="s">
        <v>310</v>
      </c>
      <c r="F1369" s="48" t="s">
        <v>66</v>
      </c>
      <c r="G1369" s="37">
        <v>994.22</v>
      </c>
      <c r="H1369" s="37">
        <v>0.99421999999999999</v>
      </c>
      <c r="I1369" s="37"/>
      <c r="J1369" s="37"/>
      <c r="K1369" s="37"/>
      <c r="L1369" s="37">
        <f>IF(H1369&gt;30,QUOTIENT(H1369,30)*VLOOKUP(D1369,'报价表-配送'!$B$16:$I$21,8,0),0)+IF(AND(MOD(H1369,30)&gt;18,MOD(H1369,30)&lt;=30),1,0)*VLOOKUP(D1369,'报价表-配送'!$B$16:$I$21,8,0)+IF(AND(MOD(H1369,30)&gt;8,MOD(H1369,30)&lt;=18),1*VLOOKUP(D1369,'报价表-配送'!$B$16:$I$21,7,0),0)+IF(AND(MOD(H1369,30)&lt;=8,MOD(H1369,30)&gt;2.5),1,0)*VLOOKUP(D1369,'报价表-配送'!$B$16:$I$21,6,0)+IF(AND(MOD(H1369,30)&lt;=2.5,MOD(H1369,30)&gt;=1.5),1,0)*VLOOKUP(D1369,'报价表-配送'!$B$16:$I$21,5,0)</f>
        <v>0</v>
      </c>
      <c r="M1369" s="39">
        <f>IF(AND(MOD(H1369,30)&lt;1.5,MOD(H1369,30)&gt;=0.5),H1369,0)*VLOOKUP(D1369,'报价表-配送'!$B$16:$I$21,4,0)*1000+IF(AND(MOD(H1369,30)&lt;0.5,MOD(H1369,30)&gt;=0.02),H1369,0)*VLOOKUP(D1369,'报价表-配送'!$B$16:$I$21,3,0)*1000+IF(AND(MOD(H1369,30)&lt;0.02),H1369,0)*VLOOKUP(D1369,'报价表-配送'!$B$16:$I$21,2,0)*1000</f>
        <v>0</v>
      </c>
      <c r="N1369" s="38">
        <f t="shared" si="20"/>
        <v>0</v>
      </c>
      <c r="O1369" s="37"/>
    </row>
    <row r="1370" spans="1:15" x14ac:dyDescent="0.25">
      <c r="A1370" s="37" t="s">
        <v>82</v>
      </c>
      <c r="B1370" s="49" t="s">
        <v>234</v>
      </c>
      <c r="C1370" s="62">
        <f>VLOOKUP(B1370,合并仓明细!$D$2:$F$74,3,0)</f>
        <v>201</v>
      </c>
      <c r="D1370" s="44" t="s">
        <v>414</v>
      </c>
      <c r="E1370" s="47" t="s">
        <v>337</v>
      </c>
      <c r="F1370" s="48" t="s">
        <v>68</v>
      </c>
      <c r="G1370" s="37">
        <v>10734.77</v>
      </c>
      <c r="H1370" s="38">
        <v>10.87576</v>
      </c>
      <c r="I1370" s="46">
        <f>ROUNDUP(H1370/30,0)*VLOOKUP(D1370,'报价表-配送'!$B$16:$I$21,8,0)</f>
        <v>0</v>
      </c>
      <c r="J1370" s="37"/>
      <c r="K1370" s="37"/>
      <c r="L1370" s="37"/>
      <c r="M1370" s="39"/>
      <c r="N1370" s="38">
        <f t="shared" si="20"/>
        <v>0</v>
      </c>
      <c r="O1370" s="37"/>
    </row>
    <row r="1371" spans="1:15" x14ac:dyDescent="0.25">
      <c r="A1371" s="37" t="s">
        <v>82</v>
      </c>
      <c r="B1371" s="49" t="s">
        <v>234</v>
      </c>
      <c r="C1371" s="62">
        <f>VLOOKUP(B1371,合并仓明细!$D$2:$F$74,3,0)</f>
        <v>201</v>
      </c>
      <c r="D1371" s="44" t="s">
        <v>414</v>
      </c>
      <c r="E1371" s="47" t="s">
        <v>337</v>
      </c>
      <c r="F1371" s="48" t="s">
        <v>66</v>
      </c>
      <c r="G1371" s="37">
        <v>140.99</v>
      </c>
      <c r="H1371" s="38"/>
      <c r="I1371" s="37"/>
      <c r="J1371" s="37"/>
      <c r="K1371" s="37"/>
      <c r="L1371" s="37"/>
      <c r="M1371" s="39"/>
      <c r="N1371" s="38">
        <f t="shared" si="20"/>
        <v>0</v>
      </c>
      <c r="O1371" s="37"/>
    </row>
    <row r="1372" spans="1:15" x14ac:dyDescent="0.25">
      <c r="A1372" s="37" t="s">
        <v>82</v>
      </c>
      <c r="B1372" s="49" t="s">
        <v>234</v>
      </c>
      <c r="C1372" s="62">
        <f>VLOOKUP(B1372,合并仓明细!$D$2:$F$74,3,0)</f>
        <v>201</v>
      </c>
      <c r="D1372" s="44" t="s">
        <v>414</v>
      </c>
      <c r="E1372" s="47" t="s">
        <v>361</v>
      </c>
      <c r="F1372" s="48" t="s">
        <v>67</v>
      </c>
      <c r="G1372" s="37">
        <v>4805.83</v>
      </c>
      <c r="H1372" s="38">
        <v>4.8058300000000003</v>
      </c>
      <c r="I1372" s="38">
        <f>IF(H1372&gt;30,QUOTIENT(H1372,30)*VLOOKUP(D1372,'报价表-配送'!$B$16:$I$21,8,0),0)+IF(AND(MOD(H1372,30)&gt;18,MOD(H1372,30)&lt;=30),1,0)*VLOOKUP(D1372,'报价表-配送'!$B$16:$I$21,8,0)</f>
        <v>0</v>
      </c>
      <c r="J1372" s="38">
        <f>IF(AND(MOD(H1372,30)&gt;8,MOD(H1372,30)&lt;=18),1*VLOOKUP(D1372,'报价表-配送'!$B$16:$I$21,7,0),0)</f>
        <v>0</v>
      </c>
      <c r="K1372" s="38">
        <f>IF(AND(MOD(H1372,30)&lt;=8,MOD(H1372,30)&gt;0),1,0)*VLOOKUP(D1372,'报价表-配送'!$B$16:$I$21,6,0)</f>
        <v>0</v>
      </c>
      <c r="L1372" s="37"/>
      <c r="M1372" s="39"/>
      <c r="N1372" s="38">
        <f t="shared" si="20"/>
        <v>0</v>
      </c>
      <c r="O1372" s="37"/>
    </row>
    <row r="1373" spans="1:15" x14ac:dyDescent="0.25">
      <c r="A1373" s="37" t="s">
        <v>82</v>
      </c>
      <c r="B1373" s="49" t="s">
        <v>234</v>
      </c>
      <c r="C1373" s="62">
        <f>VLOOKUP(B1373,合并仓明细!$D$2:$F$74,3,0)</f>
        <v>201</v>
      </c>
      <c r="D1373" s="44" t="s">
        <v>414</v>
      </c>
      <c r="E1373" s="47" t="s">
        <v>286</v>
      </c>
      <c r="F1373" s="49" t="s">
        <v>67</v>
      </c>
      <c r="G1373" s="50">
        <v>23451.190000000002</v>
      </c>
      <c r="H1373" s="50">
        <v>23.631190000000004</v>
      </c>
      <c r="I1373" s="38">
        <f>IF(H1373&gt;30,QUOTIENT(H1373,30)*VLOOKUP(D1373,'报价表-配送'!$B$16:$I$21,8,0),0)+IF(AND(MOD(H1373,30)&gt;18,MOD(H1373,30)&lt;=30),1,0)*VLOOKUP(D1373,'报价表-配送'!$B$16:$I$21,8,0)</f>
        <v>0</v>
      </c>
      <c r="J1373" s="38">
        <f>IF(AND(MOD(H1373,30)&gt;8,MOD(H1373,30)&lt;=18),1*VLOOKUP(D1373,'报价表-配送'!$B$16:$I$21,7,0),0)</f>
        <v>0</v>
      </c>
      <c r="K1373" s="38">
        <f>IF(AND(MOD(H1373,30)&lt;=8,MOD(H1373,30)&gt;0),1,0)*VLOOKUP(D1373,'报价表-配送'!$B$16:$I$21,6,0)</f>
        <v>0</v>
      </c>
      <c r="L1373" s="37"/>
      <c r="M1373" s="37"/>
      <c r="N1373" s="38">
        <f t="shared" si="20"/>
        <v>0</v>
      </c>
      <c r="O1373" s="37"/>
    </row>
    <row r="1374" spans="1:15" x14ac:dyDescent="0.25">
      <c r="A1374" s="37" t="s">
        <v>82</v>
      </c>
      <c r="B1374" s="49" t="s">
        <v>234</v>
      </c>
      <c r="C1374" s="62">
        <f>VLOOKUP(B1374,合并仓明细!$D$2:$F$74,3,0)</f>
        <v>201</v>
      </c>
      <c r="D1374" s="44" t="s">
        <v>414</v>
      </c>
      <c r="E1374" s="47" t="s">
        <v>286</v>
      </c>
      <c r="F1374" s="48" t="s">
        <v>66</v>
      </c>
      <c r="G1374" s="37">
        <v>180</v>
      </c>
      <c r="H1374" s="37"/>
      <c r="I1374" s="38"/>
      <c r="J1374" s="38"/>
      <c r="K1374" s="38"/>
      <c r="L1374" s="37"/>
      <c r="M1374" s="37"/>
      <c r="N1374" s="38">
        <f t="shared" si="20"/>
        <v>0</v>
      </c>
      <c r="O1374" s="37"/>
    </row>
    <row r="1375" spans="1:15" x14ac:dyDescent="0.25">
      <c r="A1375" s="37" t="s">
        <v>82</v>
      </c>
      <c r="B1375" s="49" t="s">
        <v>234</v>
      </c>
      <c r="C1375" s="62">
        <f>VLOOKUP(B1375,合并仓明细!$D$2:$F$74,3,0)</f>
        <v>201</v>
      </c>
      <c r="D1375" s="44" t="s">
        <v>414</v>
      </c>
      <c r="E1375" s="47" t="s">
        <v>372</v>
      </c>
      <c r="F1375" s="48" t="s">
        <v>67</v>
      </c>
      <c r="G1375" s="37">
        <v>4540</v>
      </c>
      <c r="H1375" s="37">
        <v>4.54</v>
      </c>
      <c r="I1375" s="38">
        <f>IF(H1375&gt;30,QUOTIENT(H1375,30)*VLOOKUP(D1375,'报价表-配送'!$B$16:$I$21,8,0),0)+IF(AND(MOD(H1375,30)&gt;18,MOD(H1375,30)&lt;=30),1,0)*VLOOKUP(D1375,'报价表-配送'!$B$16:$I$21,8,0)</f>
        <v>0</v>
      </c>
      <c r="J1375" s="38">
        <f>IF(AND(MOD(H1375,30)&gt;8,MOD(H1375,30)&lt;=18),1*VLOOKUP(D1375,'报价表-配送'!$B$16:$I$21,7,0),0)</f>
        <v>0</v>
      </c>
      <c r="K1375" s="38">
        <f>IF(AND(MOD(H1375,30)&lt;=8,MOD(H1375,30)&gt;0),1,0)*VLOOKUP(D1375,'报价表-配送'!$B$16:$I$21,6,0)</f>
        <v>0</v>
      </c>
      <c r="L1375" s="37"/>
      <c r="M1375" s="39"/>
      <c r="N1375" s="38">
        <f t="shared" si="20"/>
        <v>0</v>
      </c>
      <c r="O1375" s="37"/>
    </row>
    <row r="1376" spans="1:15" x14ac:dyDescent="0.25">
      <c r="A1376" s="37" t="s">
        <v>82</v>
      </c>
      <c r="B1376" s="49" t="s">
        <v>234</v>
      </c>
      <c r="C1376" s="62">
        <f>VLOOKUP(B1376,合并仓明细!$D$2:$F$74,3,0)</f>
        <v>201</v>
      </c>
      <c r="D1376" s="44" t="s">
        <v>414</v>
      </c>
      <c r="E1376" s="47" t="s">
        <v>247</v>
      </c>
      <c r="F1376" s="48" t="s">
        <v>66</v>
      </c>
      <c r="G1376" s="37">
        <v>7.5</v>
      </c>
      <c r="H1376" s="38">
        <v>7.4999999999999997E-3</v>
      </c>
      <c r="I1376" s="37"/>
      <c r="J1376" s="37"/>
      <c r="K1376" s="37"/>
      <c r="L1376" s="37">
        <f>IF(H1376&gt;30,QUOTIENT(H1376,30)*VLOOKUP(D1376,'报价表-配送'!$B$16:$I$21,8,0),0)+IF(AND(MOD(H1376,30)&gt;18,MOD(H1376,30)&lt;=30),1,0)*VLOOKUP(D1376,'报价表-配送'!$B$16:$I$21,8,0)+IF(AND(MOD(H1376,30)&gt;8,MOD(H1376,30)&lt;=18),1*VLOOKUP(D1376,'报价表-配送'!$B$16:$I$21,7,0),0)+IF(AND(MOD(H1376,30)&lt;=8,MOD(H1376,30)&gt;2.5),1,0)*VLOOKUP(D1376,'报价表-配送'!$B$16:$I$21,6,0)+IF(AND(MOD(H1376,30)&lt;=2.5,MOD(H1376,30)&gt;=1.5),1,0)*VLOOKUP(D1376,'报价表-配送'!$B$16:$I$21,5,0)</f>
        <v>0</v>
      </c>
      <c r="M1376" s="39">
        <f>IF(AND(MOD(H1376,30)&lt;1.5,MOD(H1376,30)&gt;=0.5),H1376,0)*VLOOKUP(D1376,'报价表-配送'!$B$16:$I$21,4,0)*1000+IF(AND(MOD(H1376,30)&lt;0.5,MOD(H1376,30)&gt;=0.02),H1376,0)*VLOOKUP(D1376,'报价表-配送'!$B$16:$I$21,3,0)*1000+IF(AND(MOD(H1376,30)&lt;0.02),H1376,0)*VLOOKUP(D1376,'报价表-配送'!$B$16:$I$21,2,0)*1000</f>
        <v>0</v>
      </c>
      <c r="N1376" s="38">
        <f t="shared" ref="N1376:N1439" si="21">SUM(I1376:M1376)</f>
        <v>0</v>
      </c>
      <c r="O1376" s="37"/>
    </row>
    <row r="1377" spans="1:15" x14ac:dyDescent="0.25">
      <c r="A1377" s="37" t="s">
        <v>82</v>
      </c>
      <c r="B1377" s="49" t="s">
        <v>234</v>
      </c>
      <c r="C1377" s="62">
        <f>VLOOKUP(B1377,合并仓明细!$D$2:$F$74,3,0)</f>
        <v>201</v>
      </c>
      <c r="D1377" s="44" t="s">
        <v>414</v>
      </c>
      <c r="E1377" s="47" t="s">
        <v>315</v>
      </c>
      <c r="F1377" s="48" t="s">
        <v>66</v>
      </c>
      <c r="G1377" s="37">
        <v>370.09999999999997</v>
      </c>
      <c r="H1377" s="38">
        <v>0.37009999999999998</v>
      </c>
      <c r="I1377" s="37"/>
      <c r="J1377" s="37"/>
      <c r="K1377" s="37"/>
      <c r="L1377" s="37">
        <f>IF(H1377&gt;30,QUOTIENT(H1377,30)*VLOOKUP(D1377,'报价表-配送'!$B$16:$I$21,8,0),0)+IF(AND(MOD(H1377,30)&gt;18,MOD(H1377,30)&lt;=30),1,0)*VLOOKUP(D1377,'报价表-配送'!$B$16:$I$21,8,0)+IF(AND(MOD(H1377,30)&gt;8,MOD(H1377,30)&lt;=18),1*VLOOKUP(D1377,'报价表-配送'!$B$16:$I$21,7,0),0)+IF(AND(MOD(H1377,30)&lt;=8,MOD(H1377,30)&gt;2.5),1,0)*VLOOKUP(D1377,'报价表-配送'!$B$16:$I$21,6,0)+IF(AND(MOD(H1377,30)&lt;=2.5,MOD(H1377,30)&gt;=1.5),1,0)*VLOOKUP(D1377,'报价表-配送'!$B$16:$I$21,5,0)</f>
        <v>0</v>
      </c>
      <c r="M1377" s="39">
        <f>IF(AND(MOD(H1377,30)&lt;1.5,MOD(H1377,30)&gt;=0.5),H1377,0)*VLOOKUP(D1377,'报价表-配送'!$B$16:$I$21,4,0)*1000+IF(AND(MOD(H1377,30)&lt;0.5,MOD(H1377,30)&gt;=0.02),H1377,0)*VLOOKUP(D1377,'报价表-配送'!$B$16:$I$21,3,0)*1000+IF(AND(MOD(H1377,30)&lt;0.02),H1377,0)*VLOOKUP(D1377,'报价表-配送'!$B$16:$I$21,2,0)*1000</f>
        <v>0</v>
      </c>
      <c r="N1377" s="38">
        <f t="shared" si="21"/>
        <v>0</v>
      </c>
      <c r="O1377" s="37"/>
    </row>
    <row r="1378" spans="1:15" x14ac:dyDescent="0.25">
      <c r="A1378" s="37" t="s">
        <v>82</v>
      </c>
      <c r="B1378" s="49" t="s">
        <v>234</v>
      </c>
      <c r="C1378" s="62">
        <f>VLOOKUP(B1378,合并仓明细!$D$2:$F$74,3,0)</f>
        <v>201</v>
      </c>
      <c r="D1378" s="44" t="s">
        <v>414</v>
      </c>
      <c r="E1378" s="47" t="s">
        <v>293</v>
      </c>
      <c r="F1378" s="48" t="s">
        <v>66</v>
      </c>
      <c r="G1378" s="37">
        <v>6.07</v>
      </c>
      <c r="H1378" s="38">
        <v>6.0699999999999999E-3</v>
      </c>
      <c r="I1378" s="37"/>
      <c r="J1378" s="37"/>
      <c r="K1378" s="37"/>
      <c r="L1378" s="37">
        <f>IF(H1378&gt;30,QUOTIENT(H1378,30)*VLOOKUP(D1378,'报价表-配送'!$B$16:$I$21,8,0),0)+IF(AND(MOD(H1378,30)&gt;18,MOD(H1378,30)&lt;=30),1,0)*VLOOKUP(D1378,'报价表-配送'!$B$16:$I$21,8,0)+IF(AND(MOD(H1378,30)&gt;8,MOD(H1378,30)&lt;=18),1*VLOOKUP(D1378,'报价表-配送'!$B$16:$I$21,7,0),0)+IF(AND(MOD(H1378,30)&lt;=8,MOD(H1378,30)&gt;2.5),1,0)*VLOOKUP(D1378,'报价表-配送'!$B$16:$I$21,6,0)+IF(AND(MOD(H1378,30)&lt;=2.5,MOD(H1378,30)&gt;=1.5),1,0)*VLOOKUP(D1378,'报价表-配送'!$B$16:$I$21,5,0)</f>
        <v>0</v>
      </c>
      <c r="M1378" s="39">
        <f>IF(AND(MOD(H1378,30)&lt;1.5,MOD(H1378,30)&gt;=0.5),H1378,0)*VLOOKUP(D1378,'报价表-配送'!$B$16:$I$21,4,0)*1000+IF(AND(MOD(H1378,30)&lt;0.5,MOD(H1378,30)&gt;=0.02),H1378,0)*VLOOKUP(D1378,'报价表-配送'!$B$16:$I$21,3,0)*1000+IF(AND(MOD(H1378,30)&lt;0.02),H1378,0)*VLOOKUP(D1378,'报价表-配送'!$B$16:$I$21,2,0)*1000</f>
        <v>0</v>
      </c>
      <c r="N1378" s="38">
        <f t="shared" si="21"/>
        <v>0</v>
      </c>
      <c r="O1378" s="37"/>
    </row>
    <row r="1379" spans="1:15" x14ac:dyDescent="0.25">
      <c r="A1379" s="38" t="s">
        <v>82</v>
      </c>
      <c r="B1379" s="58" t="s">
        <v>234</v>
      </c>
      <c r="C1379" s="62">
        <f>VLOOKUP(B1379,合并仓明细!$D$2:$F$74,3,0)</f>
        <v>201</v>
      </c>
      <c r="D1379" s="44" t="s">
        <v>414</v>
      </c>
      <c r="E1379" s="58" t="s">
        <v>370</v>
      </c>
      <c r="F1379" s="50" t="s">
        <v>66</v>
      </c>
      <c r="G1379" s="37">
        <v>13.88</v>
      </c>
      <c r="H1379" s="37">
        <v>1.388E-2</v>
      </c>
      <c r="I1379" s="59"/>
      <c r="J1379" s="38"/>
      <c r="K1379" s="37"/>
      <c r="L1379" s="37">
        <f>IF(H1379&gt;30,QUOTIENT(H1379,30)*VLOOKUP(D1379,'报价表-配送'!$B$16:$I$21,8,0),0)+IF(AND(MOD(H1379,30)&gt;18,MOD(H1379,30)&lt;=30),1,0)*VLOOKUP(D1379,'报价表-配送'!$B$16:$I$21,8,0)+IF(AND(MOD(H1379,30)&gt;8,MOD(H1379,30)&lt;=18),1*VLOOKUP(D1379,'报价表-配送'!$B$16:$I$21,7,0),0)+IF(AND(MOD(H1379,30)&lt;=8,MOD(H1379,30)&gt;2.5),1,0)*VLOOKUP(D1379,'报价表-配送'!$B$16:$I$21,6,0)+IF(AND(MOD(H1379,30)&lt;=2.5,MOD(H1379,30)&gt;=1.5),1,0)*VLOOKUP(D1379,'报价表-配送'!$B$16:$I$21,5,0)</f>
        <v>0</v>
      </c>
      <c r="M1379" s="39">
        <f>IF(AND(MOD(H1379,30)&lt;1.5,MOD(H1379,30)&gt;=0.5),H1379,0)*VLOOKUP(D1379,'报价表-配送'!$B$16:$I$21,4,0)*1000+IF(AND(MOD(H1379,30)&lt;0.5,MOD(H1379,30)&gt;=0.02),H1379,0)*VLOOKUP(D1379,'报价表-配送'!$B$16:$I$21,3,0)*1000+IF(AND(MOD(H1379,30)&lt;0.02),H1379,0)*VLOOKUP(D1379,'报价表-配送'!$B$16:$I$21,2,0)*1000</f>
        <v>0</v>
      </c>
      <c r="N1379" s="38">
        <f t="shared" si="21"/>
        <v>0</v>
      </c>
      <c r="O1379" s="37"/>
    </row>
    <row r="1380" spans="1:15" x14ac:dyDescent="0.25">
      <c r="A1380" s="38" t="s">
        <v>82</v>
      </c>
      <c r="B1380" s="58" t="s">
        <v>234</v>
      </c>
      <c r="C1380" s="62">
        <f>VLOOKUP(B1380,合并仓明细!$D$2:$F$74,3,0)</f>
        <v>201</v>
      </c>
      <c r="D1380" s="44" t="s">
        <v>414</v>
      </c>
      <c r="E1380" s="58" t="s">
        <v>317</v>
      </c>
      <c r="F1380" s="50" t="s">
        <v>66</v>
      </c>
      <c r="G1380" s="37">
        <v>14.28</v>
      </c>
      <c r="H1380" s="37">
        <v>1.4279999999999999E-2</v>
      </c>
      <c r="I1380" s="59"/>
      <c r="J1380" s="38"/>
      <c r="K1380" s="37"/>
      <c r="L1380" s="37">
        <f>IF(H1380&gt;30,QUOTIENT(H1380,30)*VLOOKUP(D1380,'报价表-配送'!$B$16:$I$21,8,0),0)+IF(AND(MOD(H1380,30)&gt;18,MOD(H1380,30)&lt;=30),1,0)*VLOOKUP(D1380,'报价表-配送'!$B$16:$I$21,8,0)+IF(AND(MOD(H1380,30)&gt;8,MOD(H1380,30)&lt;=18),1*VLOOKUP(D1380,'报价表-配送'!$B$16:$I$21,7,0),0)+IF(AND(MOD(H1380,30)&lt;=8,MOD(H1380,30)&gt;2.5),1,0)*VLOOKUP(D1380,'报价表-配送'!$B$16:$I$21,6,0)+IF(AND(MOD(H1380,30)&lt;=2.5,MOD(H1380,30)&gt;=1.5),1,0)*VLOOKUP(D1380,'报价表-配送'!$B$16:$I$21,5,0)</f>
        <v>0</v>
      </c>
      <c r="M1380" s="39">
        <f>IF(AND(MOD(H1380,30)&lt;1.5,MOD(H1380,30)&gt;=0.5),H1380,0)*VLOOKUP(D1380,'报价表-配送'!$B$16:$I$21,4,0)*1000+IF(AND(MOD(H1380,30)&lt;0.5,MOD(H1380,30)&gt;=0.02),H1380,0)*VLOOKUP(D1380,'报价表-配送'!$B$16:$I$21,3,0)*1000+IF(AND(MOD(H1380,30)&lt;0.02),H1380,0)*VLOOKUP(D1380,'报价表-配送'!$B$16:$I$21,2,0)*1000</f>
        <v>0</v>
      </c>
      <c r="N1380" s="38">
        <f t="shared" si="21"/>
        <v>0</v>
      </c>
      <c r="O1380" s="37"/>
    </row>
    <row r="1381" spans="1:15" x14ac:dyDescent="0.25">
      <c r="A1381" s="38" t="s">
        <v>82</v>
      </c>
      <c r="B1381" s="58" t="s">
        <v>234</v>
      </c>
      <c r="C1381" s="62">
        <f>VLOOKUP(B1381,合并仓明细!$D$2:$F$74,3,0)</f>
        <v>201</v>
      </c>
      <c r="D1381" s="44" t="s">
        <v>414</v>
      </c>
      <c r="E1381" s="58" t="s">
        <v>366</v>
      </c>
      <c r="F1381" s="50" t="s">
        <v>66</v>
      </c>
      <c r="G1381" s="37">
        <v>19.2</v>
      </c>
      <c r="H1381" s="38">
        <v>1.9199999999999998E-2</v>
      </c>
      <c r="I1381" s="59"/>
      <c r="J1381" s="37"/>
      <c r="K1381" s="59"/>
      <c r="L1381" s="37">
        <f>IF(H1381&gt;30,QUOTIENT(H1381,30)*VLOOKUP(D1381,'报价表-配送'!$B$16:$I$21,8,0),0)+IF(AND(MOD(H1381,30)&gt;18,MOD(H1381,30)&lt;=30),1,0)*VLOOKUP(D1381,'报价表-配送'!$B$16:$I$21,8,0)+IF(AND(MOD(H1381,30)&gt;8,MOD(H1381,30)&lt;=18),1*VLOOKUP(D1381,'报价表-配送'!$B$16:$I$21,7,0),0)+IF(AND(MOD(H1381,30)&lt;=8,MOD(H1381,30)&gt;2.5),1,0)*VLOOKUP(D1381,'报价表-配送'!$B$16:$I$21,6,0)+IF(AND(MOD(H1381,30)&lt;=2.5,MOD(H1381,30)&gt;=1.5),1,0)*VLOOKUP(D1381,'报价表-配送'!$B$16:$I$21,5,0)</f>
        <v>0</v>
      </c>
      <c r="M1381" s="39">
        <f>IF(AND(MOD(H1381,30)&lt;1.5,MOD(H1381,30)&gt;=0.5),H1381,0)*VLOOKUP(D1381,'报价表-配送'!$B$16:$I$21,4,0)*1000+IF(AND(MOD(H1381,30)&lt;0.5,MOD(H1381,30)&gt;=0.02),H1381,0)*VLOOKUP(D1381,'报价表-配送'!$B$16:$I$21,3,0)*1000+IF(AND(MOD(H1381,30)&lt;0.02),H1381,0)*VLOOKUP(D1381,'报价表-配送'!$B$16:$I$21,2,0)*1000</f>
        <v>0</v>
      </c>
      <c r="N1381" s="38">
        <f t="shared" si="21"/>
        <v>0</v>
      </c>
      <c r="O1381" s="37"/>
    </row>
    <row r="1382" spans="1:15" x14ac:dyDescent="0.25">
      <c r="A1382" s="38" t="s">
        <v>82</v>
      </c>
      <c r="B1382" s="58" t="s">
        <v>234</v>
      </c>
      <c r="C1382" s="62">
        <f>VLOOKUP(B1382,合并仓明细!$D$2:$F$74,3,0)</f>
        <v>201</v>
      </c>
      <c r="D1382" s="44" t="s">
        <v>414</v>
      </c>
      <c r="E1382" s="58" t="s">
        <v>249</v>
      </c>
      <c r="F1382" s="50" t="s">
        <v>66</v>
      </c>
      <c r="G1382" s="37">
        <v>154</v>
      </c>
      <c r="H1382" s="38">
        <v>0.154</v>
      </c>
      <c r="I1382" s="59"/>
      <c r="J1382" s="37"/>
      <c r="K1382" s="59"/>
      <c r="L1382" s="37">
        <f>IF(H1382&gt;30,QUOTIENT(H1382,30)*VLOOKUP(D1382,'报价表-配送'!$B$16:$I$21,8,0),0)+IF(AND(MOD(H1382,30)&gt;18,MOD(H1382,30)&lt;=30),1,0)*VLOOKUP(D1382,'报价表-配送'!$B$16:$I$21,8,0)+IF(AND(MOD(H1382,30)&gt;8,MOD(H1382,30)&lt;=18),1*VLOOKUP(D1382,'报价表-配送'!$B$16:$I$21,7,0),0)+IF(AND(MOD(H1382,30)&lt;=8,MOD(H1382,30)&gt;2.5),1,0)*VLOOKUP(D1382,'报价表-配送'!$B$16:$I$21,6,0)+IF(AND(MOD(H1382,30)&lt;=2.5,MOD(H1382,30)&gt;=1.5),1,0)*VLOOKUP(D1382,'报价表-配送'!$B$16:$I$21,5,0)</f>
        <v>0</v>
      </c>
      <c r="M1382" s="39">
        <f>IF(AND(MOD(H1382,30)&lt;1.5,MOD(H1382,30)&gt;=0.5),H1382,0)*VLOOKUP(D1382,'报价表-配送'!$B$16:$I$21,4,0)*1000+IF(AND(MOD(H1382,30)&lt;0.5,MOD(H1382,30)&gt;=0.02),H1382,0)*VLOOKUP(D1382,'报价表-配送'!$B$16:$I$21,3,0)*1000+IF(AND(MOD(H1382,30)&lt;0.02),H1382,0)*VLOOKUP(D1382,'报价表-配送'!$B$16:$I$21,2,0)*1000</f>
        <v>0</v>
      </c>
      <c r="N1382" s="38">
        <f t="shared" si="21"/>
        <v>0</v>
      </c>
      <c r="O1382" s="37"/>
    </row>
    <row r="1383" spans="1:15" x14ac:dyDescent="0.25">
      <c r="A1383" s="38" t="s">
        <v>82</v>
      </c>
      <c r="B1383" s="58" t="s">
        <v>234</v>
      </c>
      <c r="C1383" s="62">
        <f>VLOOKUP(B1383,合并仓明细!$D$2:$F$74,3,0)</f>
        <v>201</v>
      </c>
      <c r="D1383" s="44" t="s">
        <v>414</v>
      </c>
      <c r="E1383" s="58" t="s">
        <v>325</v>
      </c>
      <c r="F1383" s="50" t="s">
        <v>66</v>
      </c>
      <c r="G1383" s="37">
        <v>36</v>
      </c>
      <c r="H1383" s="38">
        <v>3.5999999999999997E-2</v>
      </c>
      <c r="I1383" s="59"/>
      <c r="J1383" s="37"/>
      <c r="K1383" s="59"/>
      <c r="L1383" s="37">
        <f>IF(H1383&gt;30,QUOTIENT(H1383,30)*VLOOKUP(D1383,'报价表-配送'!$B$16:$I$21,8,0),0)+IF(AND(MOD(H1383,30)&gt;18,MOD(H1383,30)&lt;=30),1,0)*VLOOKUP(D1383,'报价表-配送'!$B$16:$I$21,8,0)+IF(AND(MOD(H1383,30)&gt;8,MOD(H1383,30)&lt;=18),1*VLOOKUP(D1383,'报价表-配送'!$B$16:$I$21,7,0),0)+IF(AND(MOD(H1383,30)&lt;=8,MOD(H1383,30)&gt;2.5),1,0)*VLOOKUP(D1383,'报价表-配送'!$B$16:$I$21,6,0)+IF(AND(MOD(H1383,30)&lt;=2.5,MOD(H1383,30)&gt;=1.5),1,0)*VLOOKUP(D1383,'报价表-配送'!$B$16:$I$21,5,0)</f>
        <v>0</v>
      </c>
      <c r="M1383" s="39">
        <f>IF(AND(MOD(H1383,30)&lt;1.5,MOD(H1383,30)&gt;=0.5),H1383,0)*VLOOKUP(D1383,'报价表-配送'!$B$16:$I$21,4,0)*1000+IF(AND(MOD(H1383,30)&lt;0.5,MOD(H1383,30)&gt;=0.02),H1383,0)*VLOOKUP(D1383,'报价表-配送'!$B$16:$I$21,3,0)*1000+IF(AND(MOD(H1383,30)&lt;0.02),H1383,0)*VLOOKUP(D1383,'报价表-配送'!$B$16:$I$21,2,0)*1000</f>
        <v>0</v>
      </c>
      <c r="N1383" s="38">
        <f t="shared" si="21"/>
        <v>0</v>
      </c>
      <c r="O1383" s="37"/>
    </row>
    <row r="1384" spans="1:15" x14ac:dyDescent="0.25">
      <c r="A1384" s="38" t="s">
        <v>82</v>
      </c>
      <c r="B1384" s="58" t="s">
        <v>234</v>
      </c>
      <c r="C1384" s="62">
        <f>VLOOKUP(B1384,合并仓明细!$D$2:$F$74,3,0)</f>
        <v>201</v>
      </c>
      <c r="D1384" s="44" t="s">
        <v>414</v>
      </c>
      <c r="E1384" s="58" t="s">
        <v>326</v>
      </c>
      <c r="F1384" s="50" t="s">
        <v>68</v>
      </c>
      <c r="G1384" s="37">
        <v>3082.2</v>
      </c>
      <c r="H1384" s="38">
        <v>3.0821999999999998</v>
      </c>
      <c r="I1384" s="46">
        <f>ROUNDUP(H1384/30,0)*VLOOKUP(D1384,'报价表-配送'!$B$16:$I$21,8,0)</f>
        <v>0</v>
      </c>
      <c r="J1384" s="37"/>
      <c r="K1384" s="59"/>
      <c r="L1384" s="37"/>
      <c r="M1384" s="38"/>
      <c r="N1384" s="38">
        <f t="shared" si="21"/>
        <v>0</v>
      </c>
      <c r="O1384" s="37"/>
    </row>
    <row r="1385" spans="1:15" x14ac:dyDescent="0.25">
      <c r="A1385" s="38" t="s">
        <v>82</v>
      </c>
      <c r="B1385" s="58" t="s">
        <v>234</v>
      </c>
      <c r="C1385" s="62">
        <f>VLOOKUP(B1385,合并仓明细!$D$2:$F$74,3,0)</f>
        <v>201</v>
      </c>
      <c r="D1385" s="44" t="s">
        <v>414</v>
      </c>
      <c r="E1385" s="58" t="s">
        <v>298</v>
      </c>
      <c r="F1385" s="50" t="s">
        <v>66</v>
      </c>
      <c r="G1385" s="37">
        <v>104.69</v>
      </c>
      <c r="H1385" s="37">
        <v>0.10468999999999999</v>
      </c>
      <c r="I1385" s="59"/>
      <c r="J1385" s="38"/>
      <c r="K1385" s="37"/>
      <c r="L1385" s="37">
        <f>IF(H1385&gt;30,QUOTIENT(H1385,30)*VLOOKUP(D1385,'报价表-配送'!$B$16:$I$21,8,0),0)+IF(AND(MOD(H1385,30)&gt;18,MOD(H1385,30)&lt;=30),1,0)*VLOOKUP(D1385,'报价表-配送'!$B$16:$I$21,8,0)+IF(AND(MOD(H1385,30)&gt;8,MOD(H1385,30)&lt;=18),1*VLOOKUP(D1385,'报价表-配送'!$B$16:$I$21,7,0),0)+IF(AND(MOD(H1385,30)&lt;=8,MOD(H1385,30)&gt;2.5),1,0)*VLOOKUP(D1385,'报价表-配送'!$B$16:$I$21,6,0)+IF(AND(MOD(H1385,30)&lt;=2.5,MOD(H1385,30)&gt;=1.5),1,0)*VLOOKUP(D1385,'报价表-配送'!$B$16:$I$21,5,0)</f>
        <v>0</v>
      </c>
      <c r="M1385" s="39">
        <f>IF(AND(MOD(H1385,30)&lt;1.5,MOD(H1385,30)&gt;=0.5),H1385,0)*VLOOKUP(D1385,'报价表-配送'!$B$16:$I$21,4,0)*1000+IF(AND(MOD(H1385,30)&lt;0.5,MOD(H1385,30)&gt;=0.02),H1385,0)*VLOOKUP(D1385,'报价表-配送'!$B$16:$I$21,3,0)*1000+IF(AND(MOD(H1385,30)&lt;0.02),H1385,0)*VLOOKUP(D1385,'报价表-配送'!$B$16:$I$21,2,0)*1000</f>
        <v>0</v>
      </c>
      <c r="N1385" s="38">
        <f t="shared" si="21"/>
        <v>0</v>
      </c>
      <c r="O1385" s="37"/>
    </row>
    <row r="1386" spans="1:15" x14ac:dyDescent="0.25">
      <c r="A1386" s="38" t="s">
        <v>82</v>
      </c>
      <c r="B1386" s="58" t="s">
        <v>234</v>
      </c>
      <c r="C1386" s="62">
        <f>VLOOKUP(B1386,合并仓明细!$D$2:$F$74,3,0)</f>
        <v>201</v>
      </c>
      <c r="D1386" s="44" t="s">
        <v>414</v>
      </c>
      <c r="E1386" s="58" t="s">
        <v>250</v>
      </c>
      <c r="F1386" s="50" t="s">
        <v>66</v>
      </c>
      <c r="G1386" s="37">
        <v>71.16</v>
      </c>
      <c r="H1386" s="37">
        <v>7.1160000000000001E-2</v>
      </c>
      <c r="I1386" s="59"/>
      <c r="J1386" s="38"/>
      <c r="K1386" s="37"/>
      <c r="L1386" s="37">
        <f>IF(H1386&gt;30,QUOTIENT(H1386,30)*VLOOKUP(D1386,'报价表-配送'!$B$16:$I$21,8,0),0)+IF(AND(MOD(H1386,30)&gt;18,MOD(H1386,30)&lt;=30),1,0)*VLOOKUP(D1386,'报价表-配送'!$B$16:$I$21,8,0)+IF(AND(MOD(H1386,30)&gt;8,MOD(H1386,30)&lt;=18),1*VLOOKUP(D1386,'报价表-配送'!$B$16:$I$21,7,0),0)+IF(AND(MOD(H1386,30)&lt;=8,MOD(H1386,30)&gt;2.5),1,0)*VLOOKUP(D1386,'报价表-配送'!$B$16:$I$21,6,0)+IF(AND(MOD(H1386,30)&lt;=2.5,MOD(H1386,30)&gt;=1.5),1,0)*VLOOKUP(D1386,'报价表-配送'!$B$16:$I$21,5,0)</f>
        <v>0</v>
      </c>
      <c r="M1386" s="39">
        <f>IF(AND(MOD(H1386,30)&lt;1.5,MOD(H1386,30)&gt;=0.5),H1386,0)*VLOOKUP(D1386,'报价表-配送'!$B$16:$I$21,4,0)*1000+IF(AND(MOD(H1386,30)&lt;0.5,MOD(H1386,30)&gt;=0.02),H1386,0)*VLOOKUP(D1386,'报价表-配送'!$B$16:$I$21,3,0)*1000+IF(AND(MOD(H1386,30)&lt;0.02),H1386,0)*VLOOKUP(D1386,'报价表-配送'!$B$16:$I$21,2,0)*1000</f>
        <v>0</v>
      </c>
      <c r="N1386" s="38">
        <f t="shared" si="21"/>
        <v>0</v>
      </c>
      <c r="O1386" s="37"/>
    </row>
    <row r="1387" spans="1:15" x14ac:dyDescent="0.25">
      <c r="A1387" s="38" t="s">
        <v>82</v>
      </c>
      <c r="B1387" s="58" t="s">
        <v>234</v>
      </c>
      <c r="C1387" s="62">
        <f>VLOOKUP(B1387,合并仓明细!$D$2:$F$74,3,0)</f>
        <v>201</v>
      </c>
      <c r="D1387" s="44" t="s">
        <v>414</v>
      </c>
      <c r="E1387" s="58" t="s">
        <v>357</v>
      </c>
      <c r="F1387" s="50" t="s">
        <v>66</v>
      </c>
      <c r="G1387" s="37">
        <v>36</v>
      </c>
      <c r="H1387" s="38">
        <v>3.5999999999999997E-2</v>
      </c>
      <c r="I1387" s="59"/>
      <c r="J1387" s="37"/>
      <c r="K1387" s="59"/>
      <c r="L1387" s="37">
        <f>IF(H1387&gt;30,QUOTIENT(H1387,30)*VLOOKUP(D1387,'报价表-配送'!$B$16:$I$21,8,0),0)+IF(AND(MOD(H1387,30)&gt;18,MOD(H1387,30)&lt;=30),1,0)*VLOOKUP(D1387,'报价表-配送'!$B$16:$I$21,8,0)+IF(AND(MOD(H1387,30)&gt;8,MOD(H1387,30)&lt;=18),1*VLOOKUP(D1387,'报价表-配送'!$B$16:$I$21,7,0),0)+IF(AND(MOD(H1387,30)&lt;=8,MOD(H1387,30)&gt;2.5),1,0)*VLOOKUP(D1387,'报价表-配送'!$B$16:$I$21,6,0)+IF(AND(MOD(H1387,30)&lt;=2.5,MOD(H1387,30)&gt;=1.5),1,0)*VLOOKUP(D1387,'报价表-配送'!$B$16:$I$21,5,0)</f>
        <v>0</v>
      </c>
      <c r="M1387" s="39">
        <f>IF(AND(MOD(H1387,30)&lt;1.5,MOD(H1387,30)&gt;=0.5),H1387,0)*VLOOKUP(D1387,'报价表-配送'!$B$16:$I$21,4,0)*1000+IF(AND(MOD(H1387,30)&lt;0.5,MOD(H1387,30)&gt;=0.02),H1387,0)*VLOOKUP(D1387,'报价表-配送'!$B$16:$I$21,3,0)*1000+IF(AND(MOD(H1387,30)&lt;0.02),H1387,0)*VLOOKUP(D1387,'报价表-配送'!$B$16:$I$21,2,0)*1000</f>
        <v>0</v>
      </c>
      <c r="N1387" s="38">
        <f t="shared" si="21"/>
        <v>0</v>
      </c>
      <c r="O1387" s="37"/>
    </row>
    <row r="1388" spans="1:15" x14ac:dyDescent="0.25">
      <c r="A1388" s="38" t="s">
        <v>82</v>
      </c>
      <c r="B1388" s="58" t="s">
        <v>234</v>
      </c>
      <c r="C1388" s="62">
        <f>VLOOKUP(B1388,合并仓明细!$D$2:$F$74,3,0)</f>
        <v>201</v>
      </c>
      <c r="D1388" s="44" t="s">
        <v>414</v>
      </c>
      <c r="E1388" s="58" t="s">
        <v>300</v>
      </c>
      <c r="F1388" s="50" t="s">
        <v>66</v>
      </c>
      <c r="G1388" s="37">
        <v>1584.6</v>
      </c>
      <c r="H1388" s="38">
        <v>1.5846</v>
      </c>
      <c r="I1388" s="59"/>
      <c r="J1388" s="37"/>
      <c r="K1388" s="59"/>
      <c r="L1388" s="37">
        <f>IF(H1388&gt;30,QUOTIENT(H1388,30)*VLOOKUP(D1388,'报价表-配送'!$B$16:$I$21,8,0),0)+IF(AND(MOD(H1388,30)&gt;18,MOD(H1388,30)&lt;=30),1,0)*VLOOKUP(D1388,'报价表-配送'!$B$16:$I$21,8,0)+IF(AND(MOD(H1388,30)&gt;8,MOD(H1388,30)&lt;=18),1*VLOOKUP(D1388,'报价表-配送'!$B$16:$I$21,7,0),0)+IF(AND(MOD(H1388,30)&lt;=8,MOD(H1388,30)&gt;2.5),1,0)*VLOOKUP(D1388,'报价表-配送'!$B$16:$I$21,6,0)+IF(AND(MOD(H1388,30)&lt;=2.5,MOD(H1388,30)&gt;=1.5),1,0)*VLOOKUP(D1388,'报价表-配送'!$B$16:$I$21,5,0)</f>
        <v>0</v>
      </c>
      <c r="M1388" s="39">
        <f>IF(AND(MOD(H1388,30)&lt;1.5,MOD(H1388,30)&gt;=0.5),H1388,0)*VLOOKUP(D1388,'报价表-配送'!$B$16:$I$21,4,0)*1000+IF(AND(MOD(H1388,30)&lt;0.5,MOD(H1388,30)&gt;=0.02),H1388,0)*VLOOKUP(D1388,'报价表-配送'!$B$16:$I$21,3,0)*1000+IF(AND(MOD(H1388,30)&lt;0.02),H1388,0)*VLOOKUP(D1388,'报价表-配送'!$B$16:$I$21,2,0)*1000</f>
        <v>0</v>
      </c>
      <c r="N1388" s="38">
        <f t="shared" si="21"/>
        <v>0</v>
      </c>
      <c r="O1388" s="37"/>
    </row>
    <row r="1389" spans="1:15" x14ac:dyDescent="0.25">
      <c r="A1389" s="38" t="s">
        <v>82</v>
      </c>
      <c r="B1389" s="58" t="s">
        <v>234</v>
      </c>
      <c r="C1389" s="62">
        <f>VLOOKUP(B1389,合并仓明细!$D$2:$F$74,3,0)</f>
        <v>201</v>
      </c>
      <c r="D1389" s="44" t="s">
        <v>414</v>
      </c>
      <c r="E1389" s="58" t="s">
        <v>301</v>
      </c>
      <c r="F1389" s="50" t="s">
        <v>66</v>
      </c>
      <c r="G1389" s="37">
        <v>106.69</v>
      </c>
      <c r="H1389" s="38">
        <v>0.10668999999999999</v>
      </c>
      <c r="I1389" s="59"/>
      <c r="J1389" s="37"/>
      <c r="K1389" s="59"/>
      <c r="L1389" s="37">
        <f>IF(H1389&gt;30,QUOTIENT(H1389,30)*VLOOKUP(D1389,'报价表-配送'!$B$16:$I$21,8,0),0)+IF(AND(MOD(H1389,30)&gt;18,MOD(H1389,30)&lt;=30),1,0)*VLOOKUP(D1389,'报价表-配送'!$B$16:$I$21,8,0)+IF(AND(MOD(H1389,30)&gt;8,MOD(H1389,30)&lt;=18),1*VLOOKUP(D1389,'报价表-配送'!$B$16:$I$21,7,0),0)+IF(AND(MOD(H1389,30)&lt;=8,MOD(H1389,30)&gt;2.5),1,0)*VLOOKUP(D1389,'报价表-配送'!$B$16:$I$21,6,0)+IF(AND(MOD(H1389,30)&lt;=2.5,MOD(H1389,30)&gt;=1.5),1,0)*VLOOKUP(D1389,'报价表-配送'!$B$16:$I$21,5,0)</f>
        <v>0</v>
      </c>
      <c r="M1389" s="39">
        <f>IF(AND(MOD(H1389,30)&lt;1.5,MOD(H1389,30)&gt;=0.5),H1389,0)*VLOOKUP(D1389,'报价表-配送'!$B$16:$I$21,4,0)*1000+IF(AND(MOD(H1389,30)&lt;0.5,MOD(H1389,30)&gt;=0.02),H1389,0)*VLOOKUP(D1389,'报价表-配送'!$B$16:$I$21,3,0)*1000+IF(AND(MOD(H1389,30)&lt;0.02),H1389,0)*VLOOKUP(D1389,'报价表-配送'!$B$16:$I$21,2,0)*1000</f>
        <v>0</v>
      </c>
      <c r="N1389" s="38">
        <f t="shared" si="21"/>
        <v>0</v>
      </c>
      <c r="O1389" s="37"/>
    </row>
    <row r="1390" spans="1:15" x14ac:dyDescent="0.25">
      <c r="A1390" s="38" t="s">
        <v>82</v>
      </c>
      <c r="B1390" s="58" t="s">
        <v>234</v>
      </c>
      <c r="C1390" s="62">
        <f>VLOOKUP(B1390,合并仓明细!$D$2:$F$74,3,0)</f>
        <v>201</v>
      </c>
      <c r="D1390" s="44" t="s">
        <v>414</v>
      </c>
      <c r="E1390" s="58" t="s">
        <v>321</v>
      </c>
      <c r="F1390" s="50" t="s">
        <v>66</v>
      </c>
      <c r="G1390" s="37">
        <v>300</v>
      </c>
      <c r="H1390" s="38">
        <v>0.3</v>
      </c>
      <c r="I1390" s="59"/>
      <c r="J1390" s="37"/>
      <c r="K1390" s="59"/>
      <c r="L1390" s="37">
        <f>IF(H1390&gt;30,QUOTIENT(H1390,30)*VLOOKUP(D1390,'报价表-配送'!$B$16:$I$21,8,0),0)+IF(AND(MOD(H1390,30)&gt;18,MOD(H1390,30)&lt;=30),1,0)*VLOOKUP(D1390,'报价表-配送'!$B$16:$I$21,8,0)+IF(AND(MOD(H1390,30)&gt;8,MOD(H1390,30)&lt;=18),1*VLOOKUP(D1390,'报价表-配送'!$B$16:$I$21,7,0),0)+IF(AND(MOD(H1390,30)&lt;=8,MOD(H1390,30)&gt;2.5),1,0)*VLOOKUP(D1390,'报价表-配送'!$B$16:$I$21,6,0)+IF(AND(MOD(H1390,30)&lt;=2.5,MOD(H1390,30)&gt;=1.5),1,0)*VLOOKUP(D1390,'报价表-配送'!$B$16:$I$21,5,0)</f>
        <v>0</v>
      </c>
      <c r="M1390" s="39">
        <f>IF(AND(MOD(H1390,30)&lt;1.5,MOD(H1390,30)&gt;=0.5),H1390,0)*VLOOKUP(D1390,'报价表-配送'!$B$16:$I$21,4,0)*1000+IF(AND(MOD(H1390,30)&lt;0.5,MOD(H1390,30)&gt;=0.02),H1390,0)*VLOOKUP(D1390,'报价表-配送'!$B$16:$I$21,3,0)*1000+IF(AND(MOD(H1390,30)&lt;0.02),H1390,0)*VLOOKUP(D1390,'报价表-配送'!$B$16:$I$21,2,0)*1000</f>
        <v>0</v>
      </c>
      <c r="N1390" s="38">
        <f t="shared" si="21"/>
        <v>0</v>
      </c>
      <c r="O1390" s="37"/>
    </row>
    <row r="1391" spans="1:15" x14ac:dyDescent="0.25">
      <c r="A1391" s="38" t="s">
        <v>82</v>
      </c>
      <c r="B1391" s="58" t="s">
        <v>234</v>
      </c>
      <c r="C1391" s="62">
        <f>VLOOKUP(B1391,合并仓明细!$D$2:$F$74,3,0)</f>
        <v>201</v>
      </c>
      <c r="D1391" s="44" t="s">
        <v>414</v>
      </c>
      <c r="E1391" s="58" t="s">
        <v>328</v>
      </c>
      <c r="F1391" s="50" t="s">
        <v>66</v>
      </c>
      <c r="G1391" s="37">
        <v>200</v>
      </c>
      <c r="H1391" s="37">
        <v>0.2</v>
      </c>
      <c r="I1391" s="59"/>
      <c r="J1391" s="38"/>
      <c r="K1391" s="37"/>
      <c r="L1391" s="37">
        <f>IF(H1391&gt;30,QUOTIENT(H1391,30)*VLOOKUP(D1391,'报价表-配送'!$B$16:$I$21,8,0),0)+IF(AND(MOD(H1391,30)&gt;18,MOD(H1391,30)&lt;=30),1,0)*VLOOKUP(D1391,'报价表-配送'!$B$16:$I$21,8,0)+IF(AND(MOD(H1391,30)&gt;8,MOD(H1391,30)&lt;=18),1*VLOOKUP(D1391,'报价表-配送'!$B$16:$I$21,7,0),0)+IF(AND(MOD(H1391,30)&lt;=8,MOD(H1391,30)&gt;2.5),1,0)*VLOOKUP(D1391,'报价表-配送'!$B$16:$I$21,6,0)+IF(AND(MOD(H1391,30)&lt;=2.5,MOD(H1391,30)&gt;=1.5),1,0)*VLOOKUP(D1391,'报价表-配送'!$B$16:$I$21,5,0)</f>
        <v>0</v>
      </c>
      <c r="M1391" s="39">
        <f>IF(AND(MOD(H1391,30)&lt;1.5,MOD(H1391,30)&gt;=0.5),H1391,0)*VLOOKUP(D1391,'报价表-配送'!$B$16:$I$21,4,0)*1000+IF(AND(MOD(H1391,30)&lt;0.5,MOD(H1391,30)&gt;=0.02),H1391,0)*VLOOKUP(D1391,'报价表-配送'!$B$16:$I$21,3,0)*1000+IF(AND(MOD(H1391,30)&lt;0.02),H1391,0)*VLOOKUP(D1391,'报价表-配送'!$B$16:$I$21,2,0)*1000</f>
        <v>0</v>
      </c>
      <c r="N1391" s="38">
        <f t="shared" si="21"/>
        <v>0</v>
      </c>
      <c r="O1391" s="37"/>
    </row>
    <row r="1392" spans="1:15" x14ac:dyDescent="0.25">
      <c r="A1392" s="38" t="s">
        <v>82</v>
      </c>
      <c r="B1392" s="58" t="s">
        <v>234</v>
      </c>
      <c r="C1392" s="62">
        <f>VLOOKUP(B1392,合并仓明细!$D$2:$F$74,3,0)</f>
        <v>201</v>
      </c>
      <c r="D1392" s="44" t="s">
        <v>414</v>
      </c>
      <c r="E1392" s="58" t="s">
        <v>305</v>
      </c>
      <c r="F1392" s="50" t="s">
        <v>66</v>
      </c>
      <c r="G1392" s="37">
        <v>54</v>
      </c>
      <c r="H1392" s="37">
        <v>5.3999999999999999E-2</v>
      </c>
      <c r="I1392" s="59"/>
      <c r="J1392" s="38"/>
      <c r="K1392" s="37"/>
      <c r="L1392" s="37">
        <f>IF(H1392&gt;30,QUOTIENT(H1392,30)*VLOOKUP(D1392,'报价表-配送'!$B$16:$I$21,8,0),0)+IF(AND(MOD(H1392,30)&gt;18,MOD(H1392,30)&lt;=30),1,0)*VLOOKUP(D1392,'报价表-配送'!$B$16:$I$21,8,0)+IF(AND(MOD(H1392,30)&gt;8,MOD(H1392,30)&lt;=18),1*VLOOKUP(D1392,'报价表-配送'!$B$16:$I$21,7,0),0)+IF(AND(MOD(H1392,30)&lt;=8,MOD(H1392,30)&gt;2.5),1,0)*VLOOKUP(D1392,'报价表-配送'!$B$16:$I$21,6,0)+IF(AND(MOD(H1392,30)&lt;=2.5,MOD(H1392,30)&gt;=1.5),1,0)*VLOOKUP(D1392,'报价表-配送'!$B$16:$I$21,5,0)</f>
        <v>0</v>
      </c>
      <c r="M1392" s="39">
        <f>IF(AND(MOD(H1392,30)&lt;1.5,MOD(H1392,30)&gt;=0.5),H1392,0)*VLOOKUP(D1392,'报价表-配送'!$B$16:$I$21,4,0)*1000+IF(AND(MOD(H1392,30)&lt;0.5,MOD(H1392,30)&gt;=0.02),H1392,0)*VLOOKUP(D1392,'报价表-配送'!$B$16:$I$21,3,0)*1000+IF(AND(MOD(H1392,30)&lt;0.02),H1392,0)*VLOOKUP(D1392,'报价表-配送'!$B$16:$I$21,2,0)*1000</f>
        <v>0</v>
      </c>
      <c r="N1392" s="38">
        <f t="shared" si="21"/>
        <v>0</v>
      </c>
      <c r="O1392" s="37"/>
    </row>
    <row r="1393" spans="1:14" x14ac:dyDescent="0.25">
      <c r="A1393" t="s">
        <v>81</v>
      </c>
      <c r="B1393" s="44" t="s">
        <v>157</v>
      </c>
      <c r="C1393" s="62">
        <f>VLOOKUP(B1393,合并仓明细!$D$2:$F$74,3,0)</f>
        <v>91</v>
      </c>
      <c r="D1393" t="s">
        <v>393</v>
      </c>
      <c r="E1393" s="43" t="s">
        <v>308</v>
      </c>
      <c r="F1393" t="s">
        <v>67</v>
      </c>
      <c r="G1393" s="42">
        <v>1992.08</v>
      </c>
      <c r="H1393">
        <v>2.0172099999999999</v>
      </c>
      <c r="I1393" s="38">
        <f>IF(H1393&gt;30,QUOTIENT(H1393,30)*VLOOKUP(D1393,'报价表-配送'!$B$32:$I$37,8,0),0)+IF(AND(MOD(H1393,30)&gt;18,MOD(H1393,30)&lt;=30),1,0)*VLOOKUP(D1393,'报价表-配送'!$B$32:$I$37,8,0)</f>
        <v>0</v>
      </c>
      <c r="J1393" s="38">
        <f>IF(AND(MOD(H1393,30)&gt;8,MOD(H1393,30)&lt;=18),1*VLOOKUP(D1393,'报价表-配送'!$B$32:$I$37,7,0),0)</f>
        <v>0</v>
      </c>
      <c r="K1393" s="38">
        <f>IF(AND(MOD(H1393,30)&lt;=8,MOD(H1393,30)&gt;0),1,0)*VLOOKUP(D1393,'报价表-配送'!$B$32:$I$37,6,0)</f>
        <v>0</v>
      </c>
      <c r="L1393" s="33"/>
      <c r="M1393" s="1"/>
      <c r="N1393" s="38">
        <f t="shared" si="21"/>
        <v>0</v>
      </c>
    </row>
    <row r="1394" spans="1:14" x14ac:dyDescent="0.25">
      <c r="A1394" t="s">
        <v>81</v>
      </c>
      <c r="B1394" s="44" t="s">
        <v>157</v>
      </c>
      <c r="C1394" s="62">
        <f>VLOOKUP(B1394,合并仓明细!$D$2:$F$74,3,0)</f>
        <v>91</v>
      </c>
      <c r="D1394" t="s">
        <v>393</v>
      </c>
      <c r="E1394" s="43" t="s">
        <v>308</v>
      </c>
      <c r="F1394" t="s">
        <v>66</v>
      </c>
      <c r="G1394" s="42">
        <v>25.130000000000003</v>
      </c>
      <c r="H1394"/>
      <c r="K1394" s="1"/>
      <c r="L1394" s="33"/>
      <c r="M1394" s="1"/>
      <c r="N1394" s="38">
        <f t="shared" si="21"/>
        <v>0</v>
      </c>
    </row>
    <row r="1395" spans="1:14" x14ac:dyDescent="0.25">
      <c r="A1395" t="s">
        <v>81</v>
      </c>
      <c r="B1395" s="44" t="s">
        <v>157</v>
      </c>
      <c r="C1395" s="62">
        <f>VLOOKUP(B1395,合并仓明细!$D$2:$F$74,3,0)</f>
        <v>91</v>
      </c>
      <c r="D1395" t="s">
        <v>393</v>
      </c>
      <c r="E1395" s="43" t="s">
        <v>335</v>
      </c>
      <c r="F1395" t="s">
        <v>66</v>
      </c>
      <c r="G1395" s="42">
        <v>441.5</v>
      </c>
      <c r="H1395">
        <v>0.4415</v>
      </c>
      <c r="K1395" s="1"/>
      <c r="L1395" s="37">
        <f>IF(H1395&gt;30,QUOTIENT(H1395,30)*VLOOKUP(D1395,'报价表-配送'!$B$32:$I$37,8,0),0)+IF(AND(MOD(H1395,30)&gt;18,MOD(H1395,30)&lt;=30),1,0)*VLOOKUP(D1395,'报价表-配送'!$B$32:$I$37,8,0)+IF(AND(MOD(H1395,30)&gt;8,MOD(H1395,30)&lt;=18),1*VLOOKUP(D1395,'报价表-配送'!$B$32:$I$37,7,0),0)+IF(AND(MOD(H1395,30)&lt;=8,MOD(H1395,30)&gt;2.5),1,0)*VLOOKUP(D1395,'报价表-配送'!$B$32:$I$37,6,0)+IF(AND(MOD(H1395,30)&lt;=2.5,MOD(H1395,30)&gt;=1.5),1,0)*VLOOKUP(D1395,'报价表-配送'!$B$32:$I$37,5,0)</f>
        <v>0</v>
      </c>
      <c r="M1395" s="39">
        <f>IF(AND(MOD(H1395,30)&lt;1.5,MOD(H1395,30)&gt;=0.5),H1395,0)*VLOOKUP(D1395,'报价表-配送'!$B$32:$I$37,4,0)*1000+IF(AND(MOD(H1395,30)&lt;0.5,MOD(H1395,30)&gt;=0.02),H1395,0)*VLOOKUP(D1395,'报价表-配送'!$B$32:$I$37,3,0)*1000+IF(AND(MOD(H1395,30)&lt;0.02),H1395,0)*VLOOKUP(D1395,'报价表-配送'!$B$32:$I$37,2,0)*1000</f>
        <v>0</v>
      </c>
      <c r="N1395" s="38">
        <f t="shared" si="21"/>
        <v>0</v>
      </c>
    </row>
    <row r="1396" spans="1:14" x14ac:dyDescent="0.25">
      <c r="A1396" t="s">
        <v>81</v>
      </c>
      <c r="B1396" s="44" t="s">
        <v>157</v>
      </c>
      <c r="C1396" s="62">
        <f>VLOOKUP(B1396,合并仓明细!$D$2:$F$74,3,0)</f>
        <v>91</v>
      </c>
      <c r="D1396" t="s">
        <v>393</v>
      </c>
      <c r="E1396" s="43" t="s">
        <v>362</v>
      </c>
      <c r="F1396" t="s">
        <v>66</v>
      </c>
      <c r="G1396" s="42">
        <v>49.790000000000006</v>
      </c>
      <c r="H1396">
        <v>4.9790000000000008E-2</v>
      </c>
      <c r="I1396" s="46"/>
      <c r="K1396" s="1"/>
      <c r="L1396" s="37">
        <f>IF(H1396&gt;30,QUOTIENT(H1396,30)*VLOOKUP(D1396,'报价表-配送'!$B$32:$I$37,8,0),0)+IF(AND(MOD(H1396,30)&gt;18,MOD(H1396,30)&lt;=30),1,0)*VLOOKUP(D1396,'报价表-配送'!$B$32:$I$37,8,0)+IF(AND(MOD(H1396,30)&gt;8,MOD(H1396,30)&lt;=18),1*VLOOKUP(D1396,'报价表-配送'!$B$32:$I$37,7,0),0)+IF(AND(MOD(H1396,30)&lt;=8,MOD(H1396,30)&gt;2.5),1,0)*VLOOKUP(D1396,'报价表-配送'!$B$32:$I$37,6,0)+IF(AND(MOD(H1396,30)&lt;=2.5,MOD(H1396,30)&gt;=1.5),1,0)*VLOOKUP(D1396,'报价表-配送'!$B$32:$I$37,5,0)</f>
        <v>0</v>
      </c>
      <c r="M1396" s="39">
        <f>IF(AND(MOD(H1396,30)&lt;1.5,MOD(H1396,30)&gt;=0.5),H1396,0)*VLOOKUP(D1396,'报价表-配送'!$B$32:$I$37,4,0)*1000+IF(AND(MOD(H1396,30)&lt;0.5,MOD(H1396,30)&gt;=0.02),H1396,0)*VLOOKUP(D1396,'报价表-配送'!$B$32:$I$37,3,0)*1000+IF(AND(MOD(H1396,30)&lt;0.02),H1396,0)*VLOOKUP(D1396,'报价表-配送'!$B$32:$I$37,2,0)*1000</f>
        <v>0</v>
      </c>
      <c r="N1396" s="38">
        <f t="shared" si="21"/>
        <v>0</v>
      </c>
    </row>
    <row r="1397" spans="1:14" x14ac:dyDescent="0.25">
      <c r="A1397" t="s">
        <v>81</v>
      </c>
      <c r="B1397" s="44" t="s">
        <v>157</v>
      </c>
      <c r="C1397" s="62">
        <f>VLOOKUP(B1397,合并仓明细!$D$2:$F$74,3,0)</f>
        <v>91</v>
      </c>
      <c r="D1397" t="s">
        <v>393</v>
      </c>
      <c r="E1397" s="43" t="s">
        <v>269</v>
      </c>
      <c r="F1397" t="s">
        <v>66</v>
      </c>
      <c r="G1397" s="42">
        <v>98.1</v>
      </c>
      <c r="H1397">
        <v>9.8099999999999993E-2</v>
      </c>
      <c r="K1397" s="1"/>
      <c r="L1397" s="37">
        <f>IF(H1397&gt;30,QUOTIENT(H1397,30)*VLOOKUP(D1397,'报价表-配送'!$B$32:$I$37,8,0),0)+IF(AND(MOD(H1397,30)&gt;18,MOD(H1397,30)&lt;=30),1,0)*VLOOKUP(D1397,'报价表-配送'!$B$32:$I$37,8,0)+IF(AND(MOD(H1397,30)&gt;8,MOD(H1397,30)&lt;=18),1*VLOOKUP(D1397,'报价表-配送'!$B$32:$I$37,7,0),0)+IF(AND(MOD(H1397,30)&lt;=8,MOD(H1397,30)&gt;2.5),1,0)*VLOOKUP(D1397,'报价表-配送'!$B$32:$I$37,6,0)+IF(AND(MOD(H1397,30)&lt;=2.5,MOD(H1397,30)&gt;=1.5),1,0)*VLOOKUP(D1397,'报价表-配送'!$B$32:$I$37,5,0)</f>
        <v>0</v>
      </c>
      <c r="M1397" s="39">
        <f>IF(AND(MOD(H1397,30)&lt;1.5,MOD(H1397,30)&gt;=0.5),H1397,0)*VLOOKUP(D1397,'报价表-配送'!$B$32:$I$37,4,0)*1000+IF(AND(MOD(H1397,30)&lt;0.5,MOD(H1397,30)&gt;=0.02),H1397,0)*VLOOKUP(D1397,'报价表-配送'!$B$32:$I$37,3,0)*1000+IF(AND(MOD(H1397,30)&lt;0.02),H1397,0)*VLOOKUP(D1397,'报价表-配送'!$B$32:$I$37,2,0)*1000</f>
        <v>0</v>
      </c>
      <c r="N1397" s="38">
        <f t="shared" si="21"/>
        <v>0</v>
      </c>
    </row>
    <row r="1398" spans="1:14" x14ac:dyDescent="0.25">
      <c r="A1398" t="s">
        <v>81</v>
      </c>
      <c r="B1398" s="44" t="s">
        <v>157</v>
      </c>
      <c r="C1398" s="62">
        <f>VLOOKUP(B1398,合并仓明细!$D$2:$F$74,3,0)</f>
        <v>91</v>
      </c>
      <c r="D1398" t="s">
        <v>393</v>
      </c>
      <c r="E1398" s="43" t="s">
        <v>270</v>
      </c>
      <c r="F1398" t="s">
        <v>68</v>
      </c>
      <c r="G1398" s="42">
        <v>25.82</v>
      </c>
      <c r="H1398">
        <v>2.6990000000000004E-2</v>
      </c>
      <c r="I1398" s="46">
        <f>ROUNDUP(H1398/30,0)*VLOOKUP(D1398,'报价表-配送'!$B$32:$I$37,8,0)</f>
        <v>0</v>
      </c>
      <c r="K1398" s="1"/>
      <c r="L1398" s="33"/>
      <c r="M1398" s="1"/>
      <c r="N1398" s="38">
        <f t="shared" si="21"/>
        <v>0</v>
      </c>
    </row>
    <row r="1399" spans="1:14" x14ac:dyDescent="0.25">
      <c r="A1399" t="s">
        <v>81</v>
      </c>
      <c r="B1399" s="44" t="s">
        <v>157</v>
      </c>
      <c r="C1399" s="62">
        <f>VLOOKUP(B1399,合并仓明细!$D$2:$F$74,3,0)</f>
        <v>91</v>
      </c>
      <c r="D1399" t="s">
        <v>393</v>
      </c>
      <c r="E1399" s="43" t="s">
        <v>270</v>
      </c>
      <c r="F1399" t="s">
        <v>66</v>
      </c>
      <c r="G1399" s="42">
        <v>1.17</v>
      </c>
      <c r="H1399"/>
      <c r="I1399" s="46"/>
      <c r="K1399" s="1"/>
      <c r="L1399" s="33"/>
      <c r="M1399" s="1"/>
      <c r="N1399" s="38">
        <f t="shared" si="21"/>
        <v>0</v>
      </c>
    </row>
    <row r="1400" spans="1:14" x14ac:dyDescent="0.25">
      <c r="A1400" t="s">
        <v>81</v>
      </c>
      <c r="B1400" s="44" t="s">
        <v>157</v>
      </c>
      <c r="C1400" s="62">
        <f>VLOOKUP(B1400,合并仓明细!$D$2:$F$74,3,0)</f>
        <v>91</v>
      </c>
      <c r="D1400" t="s">
        <v>393</v>
      </c>
      <c r="E1400" s="43" t="s">
        <v>322</v>
      </c>
      <c r="F1400" t="s">
        <v>66</v>
      </c>
      <c r="G1400" s="42">
        <v>14.06</v>
      </c>
      <c r="H1400">
        <v>1.4060000000000001E-2</v>
      </c>
      <c r="K1400" s="1"/>
      <c r="L1400" s="37">
        <f>IF(H1400&gt;30,QUOTIENT(H1400,30)*VLOOKUP(D1400,'报价表-配送'!$B$32:$I$37,8,0),0)+IF(AND(MOD(H1400,30)&gt;18,MOD(H1400,30)&lt;=30),1,0)*VLOOKUP(D1400,'报价表-配送'!$B$32:$I$37,8,0)+IF(AND(MOD(H1400,30)&gt;8,MOD(H1400,30)&lt;=18),1*VLOOKUP(D1400,'报价表-配送'!$B$32:$I$37,7,0),0)+IF(AND(MOD(H1400,30)&lt;=8,MOD(H1400,30)&gt;2.5),1,0)*VLOOKUP(D1400,'报价表-配送'!$B$32:$I$37,6,0)+IF(AND(MOD(H1400,30)&lt;=2.5,MOD(H1400,30)&gt;=1.5),1,0)*VLOOKUP(D1400,'报价表-配送'!$B$32:$I$37,5,0)</f>
        <v>0</v>
      </c>
      <c r="M1400" s="39">
        <f>IF(AND(MOD(H1400,30)&lt;1.5,MOD(H1400,30)&gt;=0.5),H1400,0)*VLOOKUP(D1400,'报价表-配送'!$B$32:$I$37,4,0)*1000+IF(AND(MOD(H1400,30)&lt;0.5,MOD(H1400,30)&gt;=0.02),H1400,0)*VLOOKUP(D1400,'报价表-配送'!$B$32:$I$37,3,0)*1000+IF(AND(MOD(H1400,30)&lt;0.02),H1400,0)*VLOOKUP(D1400,'报价表-配送'!$B$32:$I$37,2,0)*1000</f>
        <v>0</v>
      </c>
      <c r="N1400" s="38">
        <f t="shared" si="21"/>
        <v>0</v>
      </c>
    </row>
    <row r="1401" spans="1:14" x14ac:dyDescent="0.25">
      <c r="A1401" t="s">
        <v>81</v>
      </c>
      <c r="B1401" s="44" t="s">
        <v>157</v>
      </c>
      <c r="C1401" s="62">
        <f>VLOOKUP(B1401,合并仓明细!$D$2:$F$74,3,0)</f>
        <v>91</v>
      </c>
      <c r="D1401" t="s">
        <v>393</v>
      </c>
      <c r="E1401" s="43" t="s">
        <v>346</v>
      </c>
      <c r="F1401" t="s">
        <v>68</v>
      </c>
      <c r="G1401" s="42">
        <v>128.56</v>
      </c>
      <c r="H1401">
        <v>2.82369</v>
      </c>
      <c r="I1401" s="46">
        <f>ROUNDUP(H1401/30,0)*VLOOKUP(D1401,'报价表-配送'!$B$32:$I$37,8,0)</f>
        <v>0</v>
      </c>
      <c r="K1401" s="1"/>
      <c r="L1401" s="33"/>
      <c r="M1401" s="1"/>
      <c r="N1401" s="38">
        <f t="shared" si="21"/>
        <v>0</v>
      </c>
    </row>
    <row r="1402" spans="1:14" x14ac:dyDescent="0.25">
      <c r="A1402" t="s">
        <v>81</v>
      </c>
      <c r="B1402" s="44" t="s">
        <v>157</v>
      </c>
      <c r="C1402" s="62">
        <f>VLOOKUP(B1402,合并仓明细!$D$2:$F$74,3,0)</f>
        <v>91</v>
      </c>
      <c r="D1402" t="s">
        <v>393</v>
      </c>
      <c r="E1402" s="43" t="s">
        <v>346</v>
      </c>
      <c r="F1402" t="s">
        <v>66</v>
      </c>
      <c r="G1402" s="42">
        <v>2695.13</v>
      </c>
      <c r="H1402"/>
      <c r="I1402" s="46"/>
      <c r="K1402" s="1"/>
      <c r="L1402" s="33"/>
      <c r="M1402" s="1"/>
      <c r="N1402" s="38">
        <f t="shared" si="21"/>
        <v>0</v>
      </c>
    </row>
    <row r="1403" spans="1:14" x14ac:dyDescent="0.25">
      <c r="A1403" t="s">
        <v>81</v>
      </c>
      <c r="B1403" s="44" t="s">
        <v>157</v>
      </c>
      <c r="C1403" s="62">
        <f>VLOOKUP(B1403,合并仓明细!$D$2:$F$74,3,0)</f>
        <v>91</v>
      </c>
      <c r="D1403" t="s">
        <v>393</v>
      </c>
      <c r="E1403" s="43" t="s">
        <v>337</v>
      </c>
      <c r="F1403" t="s">
        <v>67</v>
      </c>
      <c r="G1403" s="42">
        <v>2119.1999999999998</v>
      </c>
      <c r="H1403">
        <v>2.1629499999999999</v>
      </c>
      <c r="I1403" s="38">
        <f>IF(H1403&gt;30,QUOTIENT(H1403,30)*VLOOKUP(D1403,'报价表-配送'!$B$32:$I$37,8,0),0)+IF(AND(MOD(H1403,30)&gt;18,MOD(H1403,30)&lt;=30),1,0)*VLOOKUP(D1403,'报价表-配送'!$B$32:$I$37,8,0)</f>
        <v>0</v>
      </c>
      <c r="J1403" s="38">
        <f>IF(AND(MOD(H1403,30)&gt;8,MOD(H1403,30)&lt;=18),1*VLOOKUP(D1403,'报价表-配送'!$B$32:$I$37,7,0),0)</f>
        <v>0</v>
      </c>
      <c r="K1403" s="38">
        <f>IF(AND(MOD(H1403,30)&lt;=8,MOD(H1403,30)&gt;0),1,0)*VLOOKUP(D1403,'报价表-配送'!$B$32:$I$37,6,0)</f>
        <v>0</v>
      </c>
      <c r="L1403" s="33"/>
      <c r="M1403" s="1"/>
      <c r="N1403" s="38">
        <f t="shared" si="21"/>
        <v>0</v>
      </c>
    </row>
    <row r="1404" spans="1:14" x14ac:dyDescent="0.25">
      <c r="A1404" t="s">
        <v>81</v>
      </c>
      <c r="B1404" s="44" t="s">
        <v>157</v>
      </c>
      <c r="C1404" s="62">
        <f>VLOOKUP(B1404,合并仓明细!$D$2:$F$74,3,0)</f>
        <v>91</v>
      </c>
      <c r="D1404" t="s">
        <v>393</v>
      </c>
      <c r="E1404" s="43" t="s">
        <v>337</v>
      </c>
      <c r="F1404" t="s">
        <v>66</v>
      </c>
      <c r="G1404" s="42">
        <v>43.75</v>
      </c>
      <c r="H1404"/>
      <c r="K1404" s="1"/>
      <c r="L1404" s="33"/>
      <c r="M1404" s="1"/>
      <c r="N1404" s="38">
        <f t="shared" si="21"/>
        <v>0</v>
      </c>
    </row>
    <row r="1405" spans="1:14" x14ac:dyDescent="0.25">
      <c r="A1405" t="s">
        <v>81</v>
      </c>
      <c r="B1405" s="44" t="s">
        <v>157</v>
      </c>
      <c r="C1405" s="62">
        <f>VLOOKUP(B1405,合并仓明细!$D$2:$F$74,3,0)</f>
        <v>91</v>
      </c>
      <c r="D1405" t="s">
        <v>393</v>
      </c>
      <c r="E1405" s="43" t="s">
        <v>278</v>
      </c>
      <c r="F1405" t="s">
        <v>67</v>
      </c>
      <c r="G1405" s="42">
        <v>240.29</v>
      </c>
      <c r="H1405">
        <v>0.24029</v>
      </c>
      <c r="I1405" s="38">
        <f>IF(H1405&gt;30,QUOTIENT(H1405,30)*VLOOKUP(D1405,'报价表-配送'!$B$32:$I$37,8,0),0)+IF(AND(MOD(H1405,30)&gt;18,MOD(H1405,30)&lt;=30),1,0)*VLOOKUP(D1405,'报价表-配送'!$B$32:$I$37,8,0)</f>
        <v>0</v>
      </c>
      <c r="J1405" s="38">
        <f>IF(AND(MOD(H1405,30)&gt;8,MOD(H1405,30)&lt;=18),1*VLOOKUP(D1405,'报价表-配送'!$B$32:$I$37,7,0),0)</f>
        <v>0</v>
      </c>
      <c r="K1405" s="38">
        <f>IF(AND(MOD(H1405,30)&lt;=8,MOD(H1405,30)&gt;0),1,0)*VLOOKUP(D1405,'报价表-配送'!$B$32:$I$37,6,0)</f>
        <v>0</v>
      </c>
      <c r="L1405" s="33"/>
      <c r="M1405" s="1"/>
      <c r="N1405" s="38">
        <f t="shared" si="21"/>
        <v>0</v>
      </c>
    </row>
    <row r="1406" spans="1:14" x14ac:dyDescent="0.25">
      <c r="A1406" t="s">
        <v>81</v>
      </c>
      <c r="B1406" s="44" t="s">
        <v>157</v>
      </c>
      <c r="C1406" s="62">
        <f>VLOOKUP(B1406,合并仓明细!$D$2:$F$74,3,0)</f>
        <v>91</v>
      </c>
      <c r="D1406" t="s">
        <v>393</v>
      </c>
      <c r="E1406" s="43" t="s">
        <v>279</v>
      </c>
      <c r="F1406" t="s">
        <v>67</v>
      </c>
      <c r="G1406" s="42">
        <v>471.9</v>
      </c>
      <c r="H1406">
        <v>0.47189999999999999</v>
      </c>
      <c r="I1406" s="38">
        <f>IF(H1406&gt;30,QUOTIENT(H1406,30)*VLOOKUP(D1406,'报价表-配送'!$B$32:$I$37,8,0),0)+IF(AND(MOD(H1406,30)&gt;18,MOD(H1406,30)&lt;=30),1,0)*VLOOKUP(D1406,'报价表-配送'!$B$32:$I$37,8,0)</f>
        <v>0</v>
      </c>
      <c r="J1406" s="38">
        <f>IF(AND(MOD(H1406,30)&gt;8,MOD(H1406,30)&lt;=18),1*VLOOKUP(D1406,'报价表-配送'!$B$32:$I$37,7,0),0)</f>
        <v>0</v>
      </c>
      <c r="K1406" s="38">
        <f>IF(AND(MOD(H1406,30)&lt;=8,MOD(H1406,30)&gt;0),1,0)*VLOOKUP(D1406,'报价表-配送'!$B$32:$I$37,6,0)</f>
        <v>0</v>
      </c>
      <c r="L1406" s="33"/>
      <c r="M1406" s="1"/>
      <c r="N1406" s="38">
        <f t="shared" si="21"/>
        <v>0</v>
      </c>
    </row>
    <row r="1407" spans="1:14" x14ac:dyDescent="0.25">
      <c r="A1407" t="s">
        <v>81</v>
      </c>
      <c r="B1407" s="44" t="s">
        <v>157</v>
      </c>
      <c r="C1407" s="62">
        <f>VLOOKUP(B1407,合并仓明细!$D$2:$F$74,3,0)</f>
        <v>91</v>
      </c>
      <c r="D1407" t="s">
        <v>393</v>
      </c>
      <c r="E1407" s="43" t="s">
        <v>371</v>
      </c>
      <c r="F1407" t="s">
        <v>68</v>
      </c>
      <c r="G1407" s="42">
        <v>25.82</v>
      </c>
      <c r="H1407">
        <v>2.5819999999999999E-2</v>
      </c>
      <c r="I1407" s="46">
        <f>ROUNDUP(H1407/30,0)*VLOOKUP(D1407,'报价表-配送'!$B$32:$I$37,8,0)</f>
        <v>0</v>
      </c>
      <c r="K1407" s="1"/>
      <c r="L1407" s="33"/>
      <c r="M1407" s="1"/>
      <c r="N1407" s="38">
        <f t="shared" si="21"/>
        <v>0</v>
      </c>
    </row>
    <row r="1408" spans="1:14" x14ac:dyDescent="0.25">
      <c r="A1408" t="s">
        <v>81</v>
      </c>
      <c r="B1408" s="44" t="s">
        <v>157</v>
      </c>
      <c r="C1408" s="62">
        <f>VLOOKUP(B1408,合并仓明细!$D$2:$F$74,3,0)</f>
        <v>91</v>
      </c>
      <c r="D1408" t="s">
        <v>393</v>
      </c>
      <c r="E1408" s="43" t="s">
        <v>329</v>
      </c>
      <c r="F1408" t="s">
        <v>68</v>
      </c>
      <c r="G1408" s="42">
        <v>799.05</v>
      </c>
      <c r="H1408">
        <v>1.19598</v>
      </c>
      <c r="I1408" s="46">
        <f>ROUNDUP(H1408/30,0)*VLOOKUP(D1408,'报价表-配送'!$B$32:$I$37,8,0)</f>
        <v>0</v>
      </c>
      <c r="K1408" s="1"/>
      <c r="L1408" s="33"/>
      <c r="M1408" s="1"/>
      <c r="N1408" s="38">
        <f t="shared" si="21"/>
        <v>0</v>
      </c>
    </row>
    <row r="1409" spans="1:14" x14ac:dyDescent="0.25">
      <c r="A1409" t="s">
        <v>81</v>
      </c>
      <c r="B1409" s="44" t="s">
        <v>157</v>
      </c>
      <c r="C1409" s="62">
        <f>VLOOKUP(B1409,合并仓明细!$D$2:$F$74,3,0)</f>
        <v>91</v>
      </c>
      <c r="D1409" t="s">
        <v>393</v>
      </c>
      <c r="E1409" s="43" t="s">
        <v>329</v>
      </c>
      <c r="F1409" t="s">
        <v>67</v>
      </c>
      <c r="G1409" s="42">
        <v>392.48</v>
      </c>
      <c r="H1409"/>
      <c r="K1409" s="1"/>
      <c r="L1409" s="33"/>
      <c r="M1409" s="1"/>
      <c r="N1409" s="38">
        <f t="shared" si="21"/>
        <v>0</v>
      </c>
    </row>
    <row r="1410" spans="1:14" x14ac:dyDescent="0.25">
      <c r="A1410" t="s">
        <v>81</v>
      </c>
      <c r="B1410" s="44" t="s">
        <v>157</v>
      </c>
      <c r="C1410" s="62">
        <f>VLOOKUP(B1410,合并仓明细!$D$2:$F$74,3,0)</f>
        <v>91</v>
      </c>
      <c r="D1410" t="s">
        <v>393</v>
      </c>
      <c r="E1410" s="43" t="s">
        <v>329</v>
      </c>
      <c r="F1410" t="s">
        <v>66</v>
      </c>
      <c r="G1410" s="42">
        <v>4.45</v>
      </c>
      <c r="H1410"/>
      <c r="K1410" s="1"/>
      <c r="L1410" s="33"/>
      <c r="M1410" s="1"/>
      <c r="N1410" s="38">
        <f t="shared" si="21"/>
        <v>0</v>
      </c>
    </row>
    <row r="1411" spans="1:14" x14ac:dyDescent="0.25">
      <c r="A1411" t="s">
        <v>81</v>
      </c>
      <c r="B1411" s="44" t="s">
        <v>157</v>
      </c>
      <c r="C1411" s="62">
        <f>VLOOKUP(B1411,合并仓明细!$D$2:$F$74,3,0)</f>
        <v>91</v>
      </c>
      <c r="D1411" t="s">
        <v>393</v>
      </c>
      <c r="E1411" s="43" t="s">
        <v>375</v>
      </c>
      <c r="F1411" t="s">
        <v>66</v>
      </c>
      <c r="G1411" s="42">
        <v>1096.33</v>
      </c>
      <c r="H1411">
        <v>1.09633</v>
      </c>
      <c r="K1411" s="1"/>
      <c r="L1411" s="37">
        <f>IF(H1411&gt;30,QUOTIENT(H1411,30)*VLOOKUP(D1411,'报价表-配送'!$B$32:$I$37,8,0),0)+IF(AND(MOD(H1411,30)&gt;18,MOD(H1411,30)&lt;=30),1,0)*VLOOKUP(D1411,'报价表-配送'!$B$32:$I$37,8,0)+IF(AND(MOD(H1411,30)&gt;8,MOD(H1411,30)&lt;=18),1*VLOOKUP(D1411,'报价表-配送'!$B$32:$I$37,7,0),0)+IF(AND(MOD(H1411,30)&lt;=8,MOD(H1411,30)&gt;2.5),1,0)*VLOOKUP(D1411,'报价表-配送'!$B$32:$I$37,6,0)+IF(AND(MOD(H1411,30)&lt;=2.5,MOD(H1411,30)&gt;=1.5),1,0)*VLOOKUP(D1411,'报价表-配送'!$B$32:$I$37,5,0)</f>
        <v>0</v>
      </c>
      <c r="M1411" s="39">
        <f>IF(AND(MOD(H1411,30)&lt;1.5,MOD(H1411,30)&gt;=0.5),H1411,0)*VLOOKUP(D1411,'报价表-配送'!$B$32:$I$37,4,0)*1000+IF(AND(MOD(H1411,30)&lt;0.5,MOD(H1411,30)&gt;=0.02),H1411,0)*VLOOKUP(D1411,'报价表-配送'!$B$32:$I$37,3,0)*1000+IF(AND(MOD(H1411,30)&lt;0.02),H1411,0)*VLOOKUP(D1411,'报价表-配送'!$B$32:$I$37,2,0)*1000</f>
        <v>0</v>
      </c>
      <c r="N1411" s="38">
        <f t="shared" si="21"/>
        <v>0</v>
      </c>
    </row>
    <row r="1412" spans="1:14" x14ac:dyDescent="0.25">
      <c r="A1412" t="s">
        <v>81</v>
      </c>
      <c r="B1412" s="44" t="s">
        <v>157</v>
      </c>
      <c r="C1412" s="62">
        <f>VLOOKUP(B1412,合并仓明细!$D$2:$F$74,3,0)</f>
        <v>91</v>
      </c>
      <c r="D1412" t="s">
        <v>393</v>
      </c>
      <c r="E1412" s="43" t="s">
        <v>348</v>
      </c>
      <c r="F1412" t="s">
        <v>68</v>
      </c>
      <c r="G1412" s="42">
        <v>106.43</v>
      </c>
      <c r="H1412">
        <v>10.827359999999999</v>
      </c>
      <c r="I1412" s="46">
        <f>ROUNDUP(H1412/30,0)*VLOOKUP(D1412,'报价表-配送'!$B$32:$I$37,8,0)</f>
        <v>0</v>
      </c>
      <c r="K1412" s="1"/>
      <c r="L1412" s="33"/>
      <c r="M1412" s="1"/>
      <c r="N1412" s="38">
        <f t="shared" si="21"/>
        <v>0</v>
      </c>
    </row>
    <row r="1413" spans="1:14" x14ac:dyDescent="0.25">
      <c r="A1413" t="s">
        <v>81</v>
      </c>
      <c r="B1413" s="44" t="s">
        <v>157</v>
      </c>
      <c r="C1413" s="62">
        <f>VLOOKUP(B1413,合并仓明细!$D$2:$F$74,3,0)</f>
        <v>91</v>
      </c>
      <c r="D1413" t="s">
        <v>393</v>
      </c>
      <c r="E1413" s="43" t="s">
        <v>348</v>
      </c>
      <c r="F1413" t="s">
        <v>67</v>
      </c>
      <c r="G1413" s="42">
        <v>10511.869999999999</v>
      </c>
      <c r="H1413"/>
      <c r="K1413" s="1"/>
      <c r="L1413" s="33"/>
      <c r="M1413" s="1"/>
      <c r="N1413" s="38">
        <f t="shared" si="21"/>
        <v>0</v>
      </c>
    </row>
    <row r="1414" spans="1:14" x14ac:dyDescent="0.25">
      <c r="A1414" t="s">
        <v>81</v>
      </c>
      <c r="B1414" s="44" t="s">
        <v>157</v>
      </c>
      <c r="C1414" s="62">
        <f>VLOOKUP(B1414,合并仓明细!$D$2:$F$74,3,0)</f>
        <v>91</v>
      </c>
      <c r="D1414" t="s">
        <v>393</v>
      </c>
      <c r="E1414" s="43" t="s">
        <v>348</v>
      </c>
      <c r="F1414" t="s">
        <v>66</v>
      </c>
      <c r="G1414" s="42">
        <v>209.06</v>
      </c>
      <c r="H1414"/>
      <c r="K1414" s="1"/>
      <c r="L1414" s="33"/>
      <c r="M1414" s="1"/>
      <c r="N1414" s="38">
        <f t="shared" si="21"/>
        <v>0</v>
      </c>
    </row>
    <row r="1415" spans="1:14" x14ac:dyDescent="0.25">
      <c r="A1415" t="s">
        <v>81</v>
      </c>
      <c r="B1415" s="51" t="s">
        <v>157</v>
      </c>
      <c r="C1415" s="62">
        <f>VLOOKUP(B1415,合并仓明细!$D$2:$F$74,3,0)</f>
        <v>91</v>
      </c>
      <c r="D1415" t="s">
        <v>393</v>
      </c>
      <c r="E1415" s="43" t="s">
        <v>288</v>
      </c>
      <c r="F1415" t="s">
        <v>68</v>
      </c>
      <c r="G1415" s="42">
        <v>322.65999999999997</v>
      </c>
      <c r="H1415">
        <v>0.53800000000000003</v>
      </c>
      <c r="I1415" s="46">
        <f>ROUNDUP(H1415/30,0)*VLOOKUP(D1415,'报价表-配送'!$B$32:$I$37,8,0)</f>
        <v>0</v>
      </c>
      <c r="K1415" s="1"/>
      <c r="L1415" s="37"/>
      <c r="M1415" s="39"/>
      <c r="N1415" s="38">
        <f t="shared" si="21"/>
        <v>0</v>
      </c>
    </row>
    <row r="1416" spans="1:14" x14ac:dyDescent="0.25">
      <c r="A1416" t="s">
        <v>81</v>
      </c>
      <c r="B1416" s="44" t="s">
        <v>157</v>
      </c>
      <c r="C1416" s="62">
        <f>VLOOKUP(B1416,合并仓明细!$D$2:$F$74,3,0)</f>
        <v>91</v>
      </c>
      <c r="D1416" t="s">
        <v>393</v>
      </c>
      <c r="E1416" s="43" t="s">
        <v>288</v>
      </c>
      <c r="F1416" t="s">
        <v>66</v>
      </c>
      <c r="G1416" s="42">
        <v>215.34000000000003</v>
      </c>
      <c r="H1416"/>
      <c r="K1416" s="1"/>
      <c r="L1416" s="33"/>
      <c r="M1416" s="1"/>
      <c r="N1416" s="38">
        <f t="shared" si="21"/>
        <v>0</v>
      </c>
    </row>
    <row r="1417" spans="1:14" x14ac:dyDescent="0.25">
      <c r="A1417" t="s">
        <v>81</v>
      </c>
      <c r="B1417" s="44" t="s">
        <v>157</v>
      </c>
      <c r="C1417" s="62">
        <f>VLOOKUP(B1417,合并仓明细!$D$2:$F$74,3,0)</f>
        <v>91</v>
      </c>
      <c r="D1417" t="s">
        <v>393</v>
      </c>
      <c r="E1417" s="43" t="s">
        <v>372</v>
      </c>
      <c r="F1417" t="s">
        <v>66</v>
      </c>
      <c r="G1417" s="42">
        <v>0.14000000000000001</v>
      </c>
      <c r="H1417">
        <v>1.4000000000000001E-4</v>
      </c>
      <c r="K1417" s="1"/>
      <c r="L1417" s="37">
        <f>IF(H1417&gt;30,QUOTIENT(H1417,30)*VLOOKUP(D1417,'报价表-配送'!$B$32:$I$37,8,0),0)+IF(AND(MOD(H1417,30)&gt;18,MOD(H1417,30)&lt;=30),1,0)*VLOOKUP(D1417,'报价表-配送'!$B$32:$I$37,8,0)+IF(AND(MOD(H1417,30)&gt;8,MOD(H1417,30)&lt;=18),1*VLOOKUP(D1417,'报价表-配送'!$B$32:$I$37,7,0),0)+IF(AND(MOD(H1417,30)&lt;=8,MOD(H1417,30)&gt;2.5),1,0)*VLOOKUP(D1417,'报价表-配送'!$B$32:$I$37,6,0)+IF(AND(MOD(H1417,30)&lt;=2.5,MOD(H1417,30)&gt;=1.5),1,0)*VLOOKUP(D1417,'报价表-配送'!$B$32:$I$37,5,0)</f>
        <v>0</v>
      </c>
      <c r="M1417" s="39">
        <f>IF(AND(MOD(H1417,30)&lt;1.5,MOD(H1417,30)&gt;=0.5),H1417,0)*VLOOKUP(D1417,'报价表-配送'!$B$32:$I$37,4,0)*1000+IF(AND(MOD(H1417,30)&lt;0.5,MOD(H1417,30)&gt;=0.02),H1417,0)*VLOOKUP(D1417,'报价表-配送'!$B$32:$I$37,3,0)*1000+IF(AND(MOD(H1417,30)&lt;0.02),H1417,0)*VLOOKUP(D1417,'报价表-配送'!$B$32:$I$37,2,0)*1000</f>
        <v>0</v>
      </c>
      <c r="N1417" s="38">
        <f t="shared" si="21"/>
        <v>0</v>
      </c>
    </row>
    <row r="1418" spans="1:14" x14ac:dyDescent="0.25">
      <c r="A1418" t="s">
        <v>81</v>
      </c>
      <c r="B1418" s="44" t="s">
        <v>157</v>
      </c>
      <c r="C1418" s="62">
        <f>VLOOKUP(B1418,合并仓明细!$D$2:$F$74,3,0)</f>
        <v>91</v>
      </c>
      <c r="D1418" t="s">
        <v>393</v>
      </c>
      <c r="E1418" s="43" t="s">
        <v>314</v>
      </c>
      <c r="F1418" t="s">
        <v>66</v>
      </c>
      <c r="G1418" s="42">
        <v>20.450000000000003</v>
      </c>
      <c r="H1418">
        <v>2.0450000000000003E-2</v>
      </c>
      <c r="K1418" s="1"/>
      <c r="L1418" s="37">
        <f>IF(H1418&gt;30,QUOTIENT(H1418,30)*VLOOKUP(D1418,'报价表-配送'!$B$32:$I$37,8,0),0)+IF(AND(MOD(H1418,30)&gt;18,MOD(H1418,30)&lt;=30),1,0)*VLOOKUP(D1418,'报价表-配送'!$B$32:$I$37,8,0)+IF(AND(MOD(H1418,30)&gt;8,MOD(H1418,30)&lt;=18),1*VLOOKUP(D1418,'报价表-配送'!$B$32:$I$37,7,0),0)+IF(AND(MOD(H1418,30)&lt;=8,MOD(H1418,30)&gt;2.5),1,0)*VLOOKUP(D1418,'报价表-配送'!$B$32:$I$37,6,0)+IF(AND(MOD(H1418,30)&lt;=2.5,MOD(H1418,30)&gt;=1.5),1,0)*VLOOKUP(D1418,'报价表-配送'!$B$32:$I$37,5,0)</f>
        <v>0</v>
      </c>
      <c r="M1418" s="39">
        <f>IF(AND(MOD(H1418,30)&lt;1.5,MOD(H1418,30)&gt;=0.5),H1418,0)*VLOOKUP(D1418,'报价表-配送'!$B$32:$I$37,4,0)*1000+IF(AND(MOD(H1418,30)&lt;0.5,MOD(H1418,30)&gt;=0.02),H1418,0)*VLOOKUP(D1418,'报价表-配送'!$B$32:$I$37,3,0)*1000+IF(AND(MOD(H1418,30)&lt;0.02),H1418,0)*VLOOKUP(D1418,'报价表-配送'!$B$32:$I$37,2,0)*1000</f>
        <v>0</v>
      </c>
      <c r="N1418" s="38">
        <f t="shared" si="21"/>
        <v>0</v>
      </c>
    </row>
    <row r="1419" spans="1:14" x14ac:dyDescent="0.25">
      <c r="A1419" t="s">
        <v>81</v>
      </c>
      <c r="B1419" s="44" t="s">
        <v>157</v>
      </c>
      <c r="C1419" s="62">
        <f>VLOOKUP(B1419,合并仓明细!$D$2:$F$74,3,0)</f>
        <v>91</v>
      </c>
      <c r="D1419" t="s">
        <v>393</v>
      </c>
      <c r="E1419" s="43" t="s">
        <v>291</v>
      </c>
      <c r="F1419" t="s">
        <v>66</v>
      </c>
      <c r="G1419" s="42">
        <v>0.32</v>
      </c>
      <c r="H1419">
        <v>3.2000000000000003E-4</v>
      </c>
      <c r="K1419" s="1"/>
      <c r="L1419" s="37">
        <f>IF(H1419&gt;30,QUOTIENT(H1419,30)*VLOOKUP(D1419,'报价表-配送'!$B$32:$I$37,8,0),0)+IF(AND(MOD(H1419,30)&gt;18,MOD(H1419,30)&lt;=30),1,0)*VLOOKUP(D1419,'报价表-配送'!$B$32:$I$37,8,0)+IF(AND(MOD(H1419,30)&gt;8,MOD(H1419,30)&lt;=18),1*VLOOKUP(D1419,'报价表-配送'!$B$32:$I$37,7,0),0)+IF(AND(MOD(H1419,30)&lt;=8,MOD(H1419,30)&gt;2.5),1,0)*VLOOKUP(D1419,'报价表-配送'!$B$32:$I$37,6,0)+IF(AND(MOD(H1419,30)&lt;=2.5,MOD(H1419,30)&gt;=1.5),1,0)*VLOOKUP(D1419,'报价表-配送'!$B$32:$I$37,5,0)</f>
        <v>0</v>
      </c>
      <c r="M1419" s="39">
        <f>IF(AND(MOD(H1419,30)&lt;1.5,MOD(H1419,30)&gt;=0.5),H1419,0)*VLOOKUP(D1419,'报价表-配送'!$B$32:$I$37,4,0)*1000+IF(AND(MOD(H1419,30)&lt;0.5,MOD(H1419,30)&gt;=0.02),H1419,0)*VLOOKUP(D1419,'报价表-配送'!$B$32:$I$37,3,0)*1000+IF(AND(MOD(H1419,30)&lt;0.02),H1419,0)*VLOOKUP(D1419,'报价表-配送'!$B$32:$I$37,2,0)*1000</f>
        <v>0</v>
      </c>
      <c r="N1419" s="38">
        <f t="shared" si="21"/>
        <v>0</v>
      </c>
    </row>
    <row r="1420" spans="1:14" x14ac:dyDescent="0.25">
      <c r="A1420" t="s">
        <v>81</v>
      </c>
      <c r="B1420" s="44" t="s">
        <v>157</v>
      </c>
      <c r="C1420" s="62">
        <f>VLOOKUP(B1420,合并仓明细!$D$2:$F$74,3,0)</f>
        <v>91</v>
      </c>
      <c r="D1420" t="s">
        <v>393</v>
      </c>
      <c r="E1420" s="43" t="s">
        <v>292</v>
      </c>
      <c r="F1420" t="s">
        <v>66</v>
      </c>
      <c r="G1420" s="42">
        <v>0.09</v>
      </c>
      <c r="H1420">
        <v>8.9999999999999992E-5</v>
      </c>
      <c r="K1420" s="1"/>
      <c r="L1420" s="37">
        <f>IF(H1420&gt;30,QUOTIENT(H1420,30)*VLOOKUP(D1420,'报价表-配送'!$B$32:$I$37,8,0),0)+IF(AND(MOD(H1420,30)&gt;18,MOD(H1420,30)&lt;=30),1,0)*VLOOKUP(D1420,'报价表-配送'!$B$32:$I$37,8,0)+IF(AND(MOD(H1420,30)&gt;8,MOD(H1420,30)&lt;=18),1*VLOOKUP(D1420,'报价表-配送'!$B$32:$I$37,7,0),0)+IF(AND(MOD(H1420,30)&lt;=8,MOD(H1420,30)&gt;2.5),1,0)*VLOOKUP(D1420,'报价表-配送'!$B$32:$I$37,6,0)+IF(AND(MOD(H1420,30)&lt;=2.5,MOD(H1420,30)&gt;=1.5),1,0)*VLOOKUP(D1420,'报价表-配送'!$B$32:$I$37,5,0)</f>
        <v>0</v>
      </c>
      <c r="M1420" s="39">
        <f>IF(AND(MOD(H1420,30)&lt;1.5,MOD(H1420,30)&gt;=0.5),H1420,0)*VLOOKUP(D1420,'报价表-配送'!$B$32:$I$37,4,0)*1000+IF(AND(MOD(H1420,30)&lt;0.5,MOD(H1420,30)&gt;=0.02),H1420,0)*VLOOKUP(D1420,'报价表-配送'!$B$32:$I$37,3,0)*1000+IF(AND(MOD(H1420,30)&lt;0.02),H1420,0)*VLOOKUP(D1420,'报价表-配送'!$B$32:$I$37,2,0)*1000</f>
        <v>0</v>
      </c>
      <c r="N1420" s="38">
        <f t="shared" si="21"/>
        <v>0</v>
      </c>
    </row>
    <row r="1421" spans="1:14" x14ac:dyDescent="0.25">
      <c r="A1421" t="s">
        <v>81</v>
      </c>
      <c r="B1421" s="44" t="s">
        <v>157</v>
      </c>
      <c r="C1421" s="62">
        <f>VLOOKUP(B1421,合并仓明细!$D$2:$F$74,3,0)</f>
        <v>91</v>
      </c>
      <c r="D1421" t="s">
        <v>393</v>
      </c>
      <c r="E1421" s="43" t="s">
        <v>370</v>
      </c>
      <c r="F1421" t="s">
        <v>67</v>
      </c>
      <c r="G1421" s="42">
        <v>4087.1800000000003</v>
      </c>
      <c r="H1421">
        <v>4.2221800000000007</v>
      </c>
      <c r="I1421" s="38">
        <f>IF(H1421&gt;30,QUOTIENT(H1421,30)*VLOOKUP(D1421,'报价表-配送'!$B$32:$I$37,8,0),0)+IF(AND(MOD(H1421,30)&gt;18,MOD(H1421,30)&lt;=30),1,0)*VLOOKUP(D1421,'报价表-配送'!$B$32:$I$37,8,0)</f>
        <v>0</v>
      </c>
      <c r="J1421" s="38">
        <f>IF(AND(MOD(H1421,30)&gt;8,MOD(H1421,30)&lt;=18),1*VLOOKUP(D1421,'报价表-配送'!$B$32:$I$37,7,0),0)</f>
        <v>0</v>
      </c>
      <c r="K1421" s="38">
        <f>IF(AND(MOD(H1421,30)&lt;=8,MOD(H1421,30)&gt;0),1,0)*VLOOKUP(D1421,'报价表-配送'!$B$32:$I$37,6,0)</f>
        <v>0</v>
      </c>
      <c r="L1421" s="33"/>
      <c r="M1421" s="1"/>
      <c r="N1421" s="38">
        <f t="shared" si="21"/>
        <v>0</v>
      </c>
    </row>
    <row r="1422" spans="1:14" x14ac:dyDescent="0.25">
      <c r="A1422" t="s">
        <v>81</v>
      </c>
      <c r="B1422" s="44" t="s">
        <v>157</v>
      </c>
      <c r="C1422" s="62">
        <f>VLOOKUP(B1422,合并仓明细!$D$2:$F$74,3,0)</f>
        <v>91</v>
      </c>
      <c r="D1422" t="s">
        <v>393</v>
      </c>
      <c r="E1422" s="43" t="s">
        <v>370</v>
      </c>
      <c r="F1422" t="s">
        <v>66</v>
      </c>
      <c r="G1422" s="42">
        <v>135</v>
      </c>
      <c r="H1422"/>
      <c r="K1422" s="1"/>
      <c r="L1422" s="33"/>
      <c r="M1422" s="1"/>
      <c r="N1422" s="38">
        <f t="shared" si="21"/>
        <v>0</v>
      </c>
    </row>
    <row r="1423" spans="1:14" x14ac:dyDescent="0.25">
      <c r="A1423" t="s">
        <v>81</v>
      </c>
      <c r="B1423" s="44" t="s">
        <v>157</v>
      </c>
      <c r="C1423" s="62">
        <f>VLOOKUP(B1423,合并仓明细!$D$2:$F$74,3,0)</f>
        <v>91</v>
      </c>
      <c r="D1423" t="s">
        <v>393</v>
      </c>
      <c r="E1423" s="43" t="s">
        <v>317</v>
      </c>
      <c r="F1423" t="s">
        <v>66</v>
      </c>
      <c r="G1423" s="42">
        <v>172.2</v>
      </c>
      <c r="H1423">
        <v>0.17219999999999999</v>
      </c>
      <c r="K1423" s="1"/>
      <c r="L1423" s="37">
        <f>IF(H1423&gt;30,QUOTIENT(H1423,30)*VLOOKUP(D1423,'报价表-配送'!$B$32:$I$37,8,0),0)+IF(AND(MOD(H1423,30)&gt;18,MOD(H1423,30)&lt;=30),1,0)*VLOOKUP(D1423,'报价表-配送'!$B$32:$I$37,8,0)+IF(AND(MOD(H1423,30)&gt;8,MOD(H1423,30)&lt;=18),1*VLOOKUP(D1423,'报价表-配送'!$B$32:$I$37,7,0),0)+IF(AND(MOD(H1423,30)&lt;=8,MOD(H1423,30)&gt;2.5),1,0)*VLOOKUP(D1423,'报价表-配送'!$B$32:$I$37,6,0)+IF(AND(MOD(H1423,30)&lt;=2.5,MOD(H1423,30)&gt;=1.5),1,0)*VLOOKUP(D1423,'报价表-配送'!$B$32:$I$37,5,0)</f>
        <v>0</v>
      </c>
      <c r="M1423" s="39">
        <f>IF(AND(MOD(H1423,30)&lt;1.5,MOD(H1423,30)&gt;=0.5),H1423,0)*VLOOKUP(D1423,'报价表-配送'!$B$32:$I$37,4,0)*1000+IF(AND(MOD(H1423,30)&lt;0.5,MOD(H1423,30)&gt;=0.02),H1423,0)*VLOOKUP(D1423,'报价表-配送'!$B$32:$I$37,3,0)*1000+IF(AND(MOD(H1423,30)&lt;0.02),H1423,0)*VLOOKUP(D1423,'报价表-配送'!$B$32:$I$37,2,0)*1000</f>
        <v>0</v>
      </c>
      <c r="N1423" s="38">
        <f t="shared" si="21"/>
        <v>0</v>
      </c>
    </row>
    <row r="1424" spans="1:14" x14ac:dyDescent="0.25">
      <c r="A1424" t="s">
        <v>81</v>
      </c>
      <c r="B1424" s="44" t="s">
        <v>157</v>
      </c>
      <c r="C1424" s="62">
        <f>VLOOKUP(B1424,合并仓明细!$D$2:$F$74,3,0)</f>
        <v>91</v>
      </c>
      <c r="D1424" t="s">
        <v>393</v>
      </c>
      <c r="E1424" s="43" t="s">
        <v>249</v>
      </c>
      <c r="F1424" t="s">
        <v>67</v>
      </c>
      <c r="G1424" s="42">
        <v>1557.4099999999999</v>
      </c>
      <c r="H1424">
        <v>1.7581999999999998</v>
      </c>
      <c r="I1424" s="38">
        <f>IF(H1424&gt;30,QUOTIENT(H1424,30)*VLOOKUP(D1424,'报价表-配送'!$B$32:$I$37,8,0),0)+IF(AND(MOD(H1424,30)&gt;18,MOD(H1424,30)&lt;=30),1,0)*VLOOKUP(D1424,'报价表-配送'!$B$32:$I$37,8,0)</f>
        <v>0</v>
      </c>
      <c r="J1424" s="38">
        <f>IF(AND(MOD(H1424,30)&gt;8,MOD(H1424,30)&lt;=18),1*VLOOKUP(D1424,'报价表-配送'!$B$32:$I$37,7,0),0)</f>
        <v>0</v>
      </c>
      <c r="K1424" s="38">
        <f>IF(AND(MOD(H1424,30)&lt;=8,MOD(H1424,30)&gt;0),1,0)*VLOOKUP(D1424,'报价表-配送'!$B$32:$I$37,6,0)</f>
        <v>0</v>
      </c>
      <c r="L1424" s="33"/>
      <c r="M1424" s="1"/>
      <c r="N1424" s="38">
        <f t="shared" si="21"/>
        <v>0</v>
      </c>
    </row>
    <row r="1425" spans="1:14" x14ac:dyDescent="0.25">
      <c r="A1425" t="s">
        <v>81</v>
      </c>
      <c r="B1425" s="44" t="s">
        <v>157</v>
      </c>
      <c r="C1425" s="62">
        <f>VLOOKUP(B1425,合并仓明细!$D$2:$F$74,3,0)</f>
        <v>91</v>
      </c>
      <c r="D1425" t="s">
        <v>393</v>
      </c>
      <c r="E1425" s="43" t="s">
        <v>249</v>
      </c>
      <c r="F1425" t="s">
        <v>66</v>
      </c>
      <c r="G1425" s="42">
        <v>200.79000000000002</v>
      </c>
      <c r="H1425"/>
      <c r="K1425" s="1"/>
      <c r="L1425" s="33"/>
      <c r="M1425" s="1"/>
      <c r="N1425" s="38">
        <f t="shared" si="21"/>
        <v>0</v>
      </c>
    </row>
    <row r="1426" spans="1:14" x14ac:dyDescent="0.25">
      <c r="A1426" t="s">
        <v>81</v>
      </c>
      <c r="B1426" s="44" t="s">
        <v>157</v>
      </c>
      <c r="C1426" s="62">
        <f>VLOOKUP(B1426,合并仓明细!$D$2:$F$74,3,0)</f>
        <v>91</v>
      </c>
      <c r="D1426" t="s">
        <v>393</v>
      </c>
      <c r="E1426" s="43" t="s">
        <v>326</v>
      </c>
      <c r="F1426" t="s">
        <v>66</v>
      </c>
      <c r="G1426" s="42">
        <v>81.009999999999977</v>
      </c>
      <c r="H1426">
        <v>8.1009999999999971E-2</v>
      </c>
      <c r="K1426" s="1"/>
      <c r="L1426" s="37">
        <f>IF(H1426&gt;30,QUOTIENT(H1426,30)*VLOOKUP(D1426,'报价表-配送'!$B$32:$I$37,8,0),0)+IF(AND(MOD(H1426,30)&gt;18,MOD(H1426,30)&lt;=30),1,0)*VLOOKUP(D1426,'报价表-配送'!$B$32:$I$37,8,0)+IF(AND(MOD(H1426,30)&gt;8,MOD(H1426,30)&lt;=18),1*VLOOKUP(D1426,'报价表-配送'!$B$32:$I$37,7,0),0)+IF(AND(MOD(H1426,30)&lt;=8,MOD(H1426,30)&gt;2.5),1,0)*VLOOKUP(D1426,'报价表-配送'!$B$32:$I$37,6,0)+IF(AND(MOD(H1426,30)&lt;=2.5,MOD(H1426,30)&gt;=1.5),1,0)*VLOOKUP(D1426,'报价表-配送'!$B$32:$I$37,5,0)</f>
        <v>0</v>
      </c>
      <c r="M1426" s="39">
        <f>IF(AND(MOD(H1426,30)&lt;1.5,MOD(H1426,30)&gt;=0.5),H1426,0)*VLOOKUP(D1426,'报价表-配送'!$B$32:$I$37,4,0)*1000+IF(AND(MOD(H1426,30)&lt;0.5,MOD(H1426,30)&gt;=0.02),H1426,0)*VLOOKUP(D1426,'报价表-配送'!$B$32:$I$37,3,0)*1000+IF(AND(MOD(H1426,30)&lt;0.02),H1426,0)*VLOOKUP(D1426,'报价表-配送'!$B$32:$I$37,2,0)*1000</f>
        <v>0</v>
      </c>
      <c r="N1426" s="38">
        <f t="shared" si="21"/>
        <v>0</v>
      </c>
    </row>
    <row r="1427" spans="1:14" x14ac:dyDescent="0.25">
      <c r="A1427" t="s">
        <v>81</v>
      </c>
      <c r="B1427" s="44" t="s">
        <v>157</v>
      </c>
      <c r="C1427" s="62">
        <f>VLOOKUP(B1427,合并仓明细!$D$2:$F$74,3,0)</f>
        <v>91</v>
      </c>
      <c r="D1427" t="s">
        <v>393</v>
      </c>
      <c r="E1427" s="43" t="s">
        <v>343</v>
      </c>
      <c r="F1427" t="s">
        <v>66</v>
      </c>
      <c r="G1427" s="42">
        <v>45.96</v>
      </c>
      <c r="H1427">
        <v>4.5960000000000001E-2</v>
      </c>
      <c r="K1427" s="1"/>
      <c r="L1427" s="37">
        <f>IF(H1427&gt;30,QUOTIENT(H1427,30)*VLOOKUP(D1427,'报价表-配送'!$B$32:$I$37,8,0),0)+IF(AND(MOD(H1427,30)&gt;18,MOD(H1427,30)&lt;=30),1,0)*VLOOKUP(D1427,'报价表-配送'!$B$32:$I$37,8,0)+IF(AND(MOD(H1427,30)&gt;8,MOD(H1427,30)&lt;=18),1*VLOOKUP(D1427,'报价表-配送'!$B$32:$I$37,7,0),0)+IF(AND(MOD(H1427,30)&lt;=8,MOD(H1427,30)&gt;2.5),1,0)*VLOOKUP(D1427,'报价表-配送'!$B$32:$I$37,6,0)+IF(AND(MOD(H1427,30)&lt;=2.5,MOD(H1427,30)&gt;=1.5),1,0)*VLOOKUP(D1427,'报价表-配送'!$B$32:$I$37,5,0)</f>
        <v>0</v>
      </c>
      <c r="M1427" s="39">
        <f>IF(AND(MOD(H1427,30)&lt;1.5,MOD(H1427,30)&gt;=0.5),H1427,0)*VLOOKUP(D1427,'报价表-配送'!$B$32:$I$37,4,0)*1000+IF(AND(MOD(H1427,30)&lt;0.5,MOD(H1427,30)&gt;=0.02),H1427,0)*VLOOKUP(D1427,'报价表-配送'!$B$32:$I$37,3,0)*1000+IF(AND(MOD(H1427,30)&lt;0.02),H1427,0)*VLOOKUP(D1427,'报价表-配送'!$B$32:$I$37,2,0)*1000</f>
        <v>0</v>
      </c>
      <c r="N1427" s="38">
        <f t="shared" si="21"/>
        <v>0</v>
      </c>
    </row>
    <row r="1428" spans="1:14" x14ac:dyDescent="0.25">
      <c r="A1428" t="s">
        <v>81</v>
      </c>
      <c r="B1428" s="44" t="s">
        <v>157</v>
      </c>
      <c r="C1428" s="62">
        <f>VLOOKUP(B1428,合并仓明细!$D$2:$F$74,3,0)</f>
        <v>91</v>
      </c>
      <c r="D1428" t="s">
        <v>393</v>
      </c>
      <c r="E1428" s="43" t="s">
        <v>376</v>
      </c>
      <c r="F1428" t="s">
        <v>68</v>
      </c>
      <c r="G1428" s="42">
        <v>736.96</v>
      </c>
      <c r="H1428">
        <v>14.393649999999997</v>
      </c>
      <c r="I1428" s="46">
        <f>ROUNDUP(H1428/30,0)*VLOOKUP(D1428,'报价表-配送'!$B$32:$I$37,8,0)</f>
        <v>0</v>
      </c>
      <c r="K1428" s="1"/>
      <c r="L1428" s="33"/>
      <c r="M1428" s="1"/>
      <c r="N1428" s="38">
        <f t="shared" si="21"/>
        <v>0</v>
      </c>
    </row>
    <row r="1429" spans="1:14" x14ac:dyDescent="0.25">
      <c r="A1429" t="s">
        <v>81</v>
      </c>
      <c r="B1429" s="44" t="s">
        <v>157</v>
      </c>
      <c r="C1429" s="62">
        <f>VLOOKUP(B1429,合并仓明细!$D$2:$F$74,3,0)</f>
        <v>91</v>
      </c>
      <c r="D1429" t="s">
        <v>393</v>
      </c>
      <c r="E1429" s="43" t="s">
        <v>376</v>
      </c>
      <c r="F1429" t="s">
        <v>67</v>
      </c>
      <c r="G1429" s="42">
        <v>12341.91</v>
      </c>
      <c r="H1429"/>
      <c r="K1429" s="1"/>
      <c r="L1429" s="33"/>
      <c r="M1429" s="1"/>
      <c r="N1429" s="38">
        <f t="shared" si="21"/>
        <v>0</v>
      </c>
    </row>
    <row r="1430" spans="1:14" x14ac:dyDescent="0.25">
      <c r="A1430" t="s">
        <v>81</v>
      </c>
      <c r="B1430" s="44" t="s">
        <v>157</v>
      </c>
      <c r="C1430" s="62">
        <f>VLOOKUP(B1430,合并仓明细!$D$2:$F$74,3,0)</f>
        <v>91</v>
      </c>
      <c r="D1430" t="s">
        <v>393</v>
      </c>
      <c r="E1430" s="43" t="s">
        <v>376</v>
      </c>
      <c r="F1430" t="s">
        <v>66</v>
      </c>
      <c r="G1430" s="42">
        <v>1314.7799999999997</v>
      </c>
      <c r="H1430"/>
      <c r="K1430" s="1"/>
      <c r="L1430" s="33"/>
      <c r="M1430" s="1"/>
      <c r="N1430" s="38">
        <f t="shared" si="21"/>
        <v>0</v>
      </c>
    </row>
    <row r="1431" spans="1:14" x14ac:dyDescent="0.25">
      <c r="A1431" t="s">
        <v>81</v>
      </c>
      <c r="B1431" s="44" t="s">
        <v>157</v>
      </c>
      <c r="C1431" s="62">
        <f>VLOOKUP(B1431,合并仓明细!$D$2:$F$74,3,0)</f>
        <v>91</v>
      </c>
      <c r="D1431" t="s">
        <v>393</v>
      </c>
      <c r="E1431" s="43" t="s">
        <v>331</v>
      </c>
      <c r="F1431" t="s">
        <v>68</v>
      </c>
      <c r="G1431" s="42">
        <v>153.25</v>
      </c>
      <c r="H1431">
        <v>0.15325</v>
      </c>
      <c r="I1431" s="46">
        <f>ROUNDUP(H1431/30,0)*VLOOKUP(D1431,'报价表-配送'!$B$32:$I$37,8,0)</f>
        <v>0</v>
      </c>
      <c r="K1431" s="1"/>
      <c r="L1431" s="33"/>
      <c r="M1431" s="1"/>
      <c r="N1431" s="38">
        <f t="shared" si="21"/>
        <v>0</v>
      </c>
    </row>
    <row r="1432" spans="1:14" x14ac:dyDescent="0.25">
      <c r="A1432" t="s">
        <v>81</v>
      </c>
      <c r="B1432" s="44" t="s">
        <v>158</v>
      </c>
      <c r="C1432" s="62">
        <f>VLOOKUP(B1432,合并仓明细!$D$2:$F$74,3,0)</f>
        <v>55</v>
      </c>
      <c r="D1432" t="s">
        <v>393</v>
      </c>
      <c r="E1432" s="43" t="s">
        <v>263</v>
      </c>
      <c r="F1432" t="s">
        <v>66</v>
      </c>
      <c r="G1432" s="42">
        <v>75.929999999999993</v>
      </c>
      <c r="H1432">
        <v>7.5929999999999997E-2</v>
      </c>
      <c r="K1432" s="1"/>
      <c r="L1432" s="37">
        <f>IF(H1432&gt;30,QUOTIENT(H1432,30)*VLOOKUP(D1432,'报价表-配送'!$B$32:$I$37,8,0),0)+IF(AND(MOD(H1432,30)&gt;18,MOD(H1432,30)&lt;=30),1,0)*VLOOKUP(D1432,'报价表-配送'!$B$32:$I$37,8,0)+IF(AND(MOD(H1432,30)&gt;8,MOD(H1432,30)&lt;=18),1*VLOOKUP(D1432,'报价表-配送'!$B$32:$I$37,7,0),0)+IF(AND(MOD(H1432,30)&lt;=8,MOD(H1432,30)&gt;2.5),1,0)*VLOOKUP(D1432,'报价表-配送'!$B$32:$I$37,6,0)+IF(AND(MOD(H1432,30)&lt;=2.5,MOD(H1432,30)&gt;=1.5),1,0)*VLOOKUP(D1432,'报价表-配送'!$B$32:$I$37,5,0)</f>
        <v>0</v>
      </c>
      <c r="M1432" s="39">
        <f>IF(AND(MOD(H1432,30)&lt;1.5,MOD(H1432,30)&gt;=0.5),H1432,0)*VLOOKUP(D1432,'报价表-配送'!$B$32:$I$37,4,0)*1000+IF(AND(MOD(H1432,30)&lt;0.5,MOD(H1432,30)&gt;=0.02),H1432,0)*VLOOKUP(D1432,'报价表-配送'!$B$32:$I$37,3,0)*1000+IF(AND(MOD(H1432,30)&lt;0.02),H1432,0)*VLOOKUP(D1432,'报价表-配送'!$B$32:$I$37,2,0)*1000</f>
        <v>0</v>
      </c>
      <c r="N1432" s="38">
        <f t="shared" si="21"/>
        <v>0</v>
      </c>
    </row>
    <row r="1433" spans="1:14" x14ac:dyDescent="0.25">
      <c r="A1433" t="s">
        <v>81</v>
      </c>
      <c r="B1433" s="44" t="s">
        <v>158</v>
      </c>
      <c r="C1433" s="62">
        <f>VLOOKUP(B1433,合并仓明细!$D$2:$F$74,3,0)</f>
        <v>55</v>
      </c>
      <c r="D1433" t="s">
        <v>393</v>
      </c>
      <c r="E1433" s="43" t="s">
        <v>307</v>
      </c>
      <c r="F1433" t="s">
        <v>67</v>
      </c>
      <c r="G1433" s="42">
        <v>1381.79</v>
      </c>
      <c r="H1433">
        <v>1.3817900000000001</v>
      </c>
      <c r="I1433" s="38">
        <f>IF(H1433&gt;30,QUOTIENT(H1433,30)*VLOOKUP(D1433,'报价表-配送'!$B$32:$I$37,8,0),0)+IF(AND(MOD(H1433,30)&gt;18,MOD(H1433,30)&lt;=30),1,0)*VLOOKUP(D1433,'报价表-配送'!$B$32:$I$37,8,0)</f>
        <v>0</v>
      </c>
      <c r="J1433" s="38">
        <f>IF(AND(MOD(H1433,30)&gt;8,MOD(H1433,30)&lt;=18),1*VLOOKUP(D1433,'报价表-配送'!$B$32:$I$37,7,0),0)</f>
        <v>0</v>
      </c>
      <c r="K1433" s="38">
        <f>IF(AND(MOD(H1433,30)&lt;=8,MOD(H1433,30)&gt;0),1,0)*VLOOKUP(D1433,'报价表-配送'!$B$32:$I$37,6,0)</f>
        <v>0</v>
      </c>
      <c r="L1433" s="33"/>
      <c r="M1433" s="1"/>
      <c r="N1433" s="38">
        <f t="shared" si="21"/>
        <v>0</v>
      </c>
    </row>
    <row r="1434" spans="1:14" x14ac:dyDescent="0.25">
      <c r="A1434" t="s">
        <v>81</v>
      </c>
      <c r="B1434" s="44" t="s">
        <v>158</v>
      </c>
      <c r="C1434" s="62">
        <f>VLOOKUP(B1434,合并仓明细!$D$2:$F$74,3,0)</f>
        <v>55</v>
      </c>
      <c r="D1434" t="s">
        <v>393</v>
      </c>
      <c r="E1434" s="43" t="s">
        <v>308</v>
      </c>
      <c r="F1434" t="s">
        <v>67</v>
      </c>
      <c r="G1434" s="42">
        <v>330.43</v>
      </c>
      <c r="H1434">
        <v>0.33043</v>
      </c>
      <c r="I1434" s="38">
        <f>IF(H1434&gt;30,QUOTIENT(H1434,30)*VLOOKUP(D1434,'报价表-配送'!$B$32:$I$37,8,0),0)+IF(AND(MOD(H1434,30)&gt;18,MOD(H1434,30)&lt;=30),1,0)*VLOOKUP(D1434,'报价表-配送'!$B$32:$I$37,8,0)</f>
        <v>0</v>
      </c>
      <c r="J1434" s="38">
        <f>IF(AND(MOD(H1434,30)&gt;8,MOD(H1434,30)&lt;=18),1*VLOOKUP(D1434,'报价表-配送'!$B$32:$I$37,7,0),0)</f>
        <v>0</v>
      </c>
      <c r="K1434" s="38">
        <f>IF(AND(MOD(H1434,30)&lt;=8,MOD(H1434,30)&gt;0),1,0)*VLOOKUP(D1434,'报价表-配送'!$B$32:$I$37,6,0)</f>
        <v>0</v>
      </c>
      <c r="L1434" s="33"/>
      <c r="M1434" s="1"/>
      <c r="N1434" s="38">
        <f t="shared" si="21"/>
        <v>0</v>
      </c>
    </row>
    <row r="1435" spans="1:14" x14ac:dyDescent="0.25">
      <c r="A1435" t="s">
        <v>81</v>
      </c>
      <c r="B1435" s="44" t="s">
        <v>158</v>
      </c>
      <c r="C1435" s="62">
        <f>VLOOKUP(B1435,合并仓明细!$D$2:$F$74,3,0)</f>
        <v>55</v>
      </c>
      <c r="D1435" t="s">
        <v>393</v>
      </c>
      <c r="E1435" s="43" t="s">
        <v>344</v>
      </c>
      <c r="F1435" t="s">
        <v>66</v>
      </c>
      <c r="G1435" s="42">
        <v>191.37</v>
      </c>
      <c r="H1435">
        <v>0.19137000000000001</v>
      </c>
      <c r="K1435" s="1"/>
      <c r="L1435" s="37">
        <f>IF(H1435&gt;30,QUOTIENT(H1435,30)*VLOOKUP(D1435,'报价表-配送'!$B$32:$I$37,8,0),0)+IF(AND(MOD(H1435,30)&gt;18,MOD(H1435,30)&lt;=30),1,0)*VLOOKUP(D1435,'报价表-配送'!$B$32:$I$37,8,0)+IF(AND(MOD(H1435,30)&gt;8,MOD(H1435,30)&lt;=18),1*VLOOKUP(D1435,'报价表-配送'!$B$32:$I$37,7,0),0)+IF(AND(MOD(H1435,30)&lt;=8,MOD(H1435,30)&gt;2.5),1,0)*VLOOKUP(D1435,'报价表-配送'!$B$32:$I$37,6,0)+IF(AND(MOD(H1435,30)&lt;=2.5,MOD(H1435,30)&gt;=1.5),1,0)*VLOOKUP(D1435,'报价表-配送'!$B$32:$I$37,5,0)</f>
        <v>0</v>
      </c>
      <c r="M1435" s="39">
        <f>IF(AND(MOD(H1435,30)&lt;1.5,MOD(H1435,30)&gt;=0.5),H1435,0)*VLOOKUP(D1435,'报价表-配送'!$B$32:$I$37,4,0)*1000+IF(AND(MOD(H1435,30)&lt;0.5,MOD(H1435,30)&gt;=0.02),H1435,0)*VLOOKUP(D1435,'报价表-配送'!$B$32:$I$37,3,0)*1000+IF(AND(MOD(H1435,30)&lt;0.02),H1435,0)*VLOOKUP(D1435,'报价表-配送'!$B$32:$I$37,2,0)*1000</f>
        <v>0</v>
      </c>
      <c r="N1435" s="38">
        <f t="shared" si="21"/>
        <v>0</v>
      </c>
    </row>
    <row r="1436" spans="1:14" x14ac:dyDescent="0.25">
      <c r="A1436" t="s">
        <v>81</v>
      </c>
      <c r="B1436" s="44" t="s">
        <v>158</v>
      </c>
      <c r="C1436" s="62">
        <f>VLOOKUP(B1436,合并仓明细!$D$2:$F$74,3,0)</f>
        <v>55</v>
      </c>
      <c r="D1436" t="s">
        <v>393</v>
      </c>
      <c r="E1436" s="43" t="s">
        <v>265</v>
      </c>
      <c r="F1436" t="s">
        <v>66</v>
      </c>
      <c r="G1436" s="42">
        <v>23.35</v>
      </c>
      <c r="H1436">
        <v>2.3350000000000003E-2</v>
      </c>
      <c r="K1436" s="1"/>
      <c r="L1436" s="37">
        <f>IF(H1436&gt;30,QUOTIENT(H1436,30)*VLOOKUP(D1436,'报价表-配送'!$B$32:$I$37,8,0),0)+IF(AND(MOD(H1436,30)&gt;18,MOD(H1436,30)&lt;=30),1,0)*VLOOKUP(D1436,'报价表-配送'!$B$32:$I$37,8,0)+IF(AND(MOD(H1436,30)&gt;8,MOD(H1436,30)&lt;=18),1*VLOOKUP(D1436,'报价表-配送'!$B$32:$I$37,7,0),0)+IF(AND(MOD(H1436,30)&lt;=8,MOD(H1436,30)&gt;2.5),1,0)*VLOOKUP(D1436,'报价表-配送'!$B$32:$I$37,6,0)+IF(AND(MOD(H1436,30)&lt;=2.5,MOD(H1436,30)&gt;=1.5),1,0)*VLOOKUP(D1436,'报价表-配送'!$B$32:$I$37,5,0)</f>
        <v>0</v>
      </c>
      <c r="M1436" s="39">
        <f>IF(AND(MOD(H1436,30)&lt;1.5,MOD(H1436,30)&gt;=0.5),H1436,0)*VLOOKUP(D1436,'报价表-配送'!$B$32:$I$37,4,0)*1000+IF(AND(MOD(H1436,30)&lt;0.5,MOD(H1436,30)&gt;=0.02),H1436,0)*VLOOKUP(D1436,'报价表-配送'!$B$32:$I$37,3,0)*1000+IF(AND(MOD(H1436,30)&lt;0.02),H1436,0)*VLOOKUP(D1436,'报价表-配送'!$B$32:$I$37,2,0)*1000</f>
        <v>0</v>
      </c>
      <c r="N1436" s="38">
        <f t="shared" si="21"/>
        <v>0</v>
      </c>
    </row>
    <row r="1437" spans="1:14" x14ac:dyDescent="0.25">
      <c r="A1437" t="s">
        <v>81</v>
      </c>
      <c r="B1437" s="44" t="s">
        <v>158</v>
      </c>
      <c r="C1437" s="62">
        <f>VLOOKUP(B1437,合并仓明细!$D$2:$F$74,3,0)</f>
        <v>55</v>
      </c>
      <c r="D1437" t="s">
        <v>393</v>
      </c>
      <c r="E1437" s="43" t="s">
        <v>257</v>
      </c>
      <c r="F1437" t="s">
        <v>66</v>
      </c>
      <c r="G1437" s="42">
        <v>362.60999999999996</v>
      </c>
      <c r="H1437">
        <v>0.36260999999999993</v>
      </c>
      <c r="K1437" s="1"/>
      <c r="L1437" s="37">
        <f>IF(H1437&gt;30,QUOTIENT(H1437,30)*VLOOKUP(D1437,'报价表-配送'!$B$32:$I$37,8,0),0)+IF(AND(MOD(H1437,30)&gt;18,MOD(H1437,30)&lt;=30),1,0)*VLOOKUP(D1437,'报价表-配送'!$B$32:$I$37,8,0)+IF(AND(MOD(H1437,30)&gt;8,MOD(H1437,30)&lt;=18),1*VLOOKUP(D1437,'报价表-配送'!$B$32:$I$37,7,0),0)+IF(AND(MOD(H1437,30)&lt;=8,MOD(H1437,30)&gt;2.5),1,0)*VLOOKUP(D1437,'报价表-配送'!$B$32:$I$37,6,0)+IF(AND(MOD(H1437,30)&lt;=2.5,MOD(H1437,30)&gt;=1.5),1,0)*VLOOKUP(D1437,'报价表-配送'!$B$32:$I$37,5,0)</f>
        <v>0</v>
      </c>
      <c r="M1437" s="39">
        <f>IF(AND(MOD(H1437,30)&lt;1.5,MOD(H1437,30)&gt;=0.5),H1437,0)*VLOOKUP(D1437,'报价表-配送'!$B$32:$I$37,4,0)*1000+IF(AND(MOD(H1437,30)&lt;0.5,MOD(H1437,30)&gt;=0.02),H1437,0)*VLOOKUP(D1437,'报价表-配送'!$B$32:$I$37,3,0)*1000+IF(AND(MOD(H1437,30)&lt;0.02),H1437,0)*VLOOKUP(D1437,'报价表-配送'!$B$32:$I$37,2,0)*1000</f>
        <v>0</v>
      </c>
      <c r="N1437" s="38">
        <f t="shared" si="21"/>
        <v>0</v>
      </c>
    </row>
    <row r="1438" spans="1:14" x14ac:dyDescent="0.25">
      <c r="A1438" t="s">
        <v>81</v>
      </c>
      <c r="B1438" s="44" t="s">
        <v>158</v>
      </c>
      <c r="C1438" s="62">
        <f>VLOOKUP(B1438,合并仓明细!$D$2:$F$74,3,0)</f>
        <v>55</v>
      </c>
      <c r="D1438" t="s">
        <v>393</v>
      </c>
      <c r="E1438" s="43" t="s">
        <v>309</v>
      </c>
      <c r="F1438" t="s">
        <v>66</v>
      </c>
      <c r="G1438" s="42">
        <v>18.34</v>
      </c>
      <c r="H1438">
        <v>1.8339999999999999E-2</v>
      </c>
      <c r="K1438" s="1"/>
      <c r="L1438" s="37">
        <f>IF(H1438&gt;30,QUOTIENT(H1438,30)*VLOOKUP(D1438,'报价表-配送'!$B$32:$I$37,8,0),0)+IF(AND(MOD(H1438,30)&gt;18,MOD(H1438,30)&lt;=30),1,0)*VLOOKUP(D1438,'报价表-配送'!$B$32:$I$37,8,0)+IF(AND(MOD(H1438,30)&gt;8,MOD(H1438,30)&lt;=18),1*VLOOKUP(D1438,'报价表-配送'!$B$32:$I$37,7,0),0)+IF(AND(MOD(H1438,30)&lt;=8,MOD(H1438,30)&gt;2.5),1,0)*VLOOKUP(D1438,'报价表-配送'!$B$32:$I$37,6,0)+IF(AND(MOD(H1438,30)&lt;=2.5,MOD(H1438,30)&gt;=1.5),1,0)*VLOOKUP(D1438,'报价表-配送'!$B$32:$I$37,5,0)</f>
        <v>0</v>
      </c>
      <c r="M1438" s="39">
        <f>IF(AND(MOD(H1438,30)&lt;1.5,MOD(H1438,30)&gt;=0.5),H1438,0)*VLOOKUP(D1438,'报价表-配送'!$B$32:$I$37,4,0)*1000+IF(AND(MOD(H1438,30)&lt;0.5,MOD(H1438,30)&gt;=0.02),H1438,0)*VLOOKUP(D1438,'报价表-配送'!$B$32:$I$37,3,0)*1000+IF(AND(MOD(H1438,30)&lt;0.02),H1438,0)*VLOOKUP(D1438,'报价表-配送'!$B$32:$I$37,2,0)*1000</f>
        <v>0</v>
      </c>
      <c r="N1438" s="38">
        <f t="shared" si="21"/>
        <v>0</v>
      </c>
    </row>
    <row r="1439" spans="1:14" x14ac:dyDescent="0.25">
      <c r="A1439" t="s">
        <v>81</v>
      </c>
      <c r="B1439" s="44" t="s">
        <v>158</v>
      </c>
      <c r="C1439" s="62">
        <f>VLOOKUP(B1439,合并仓明细!$D$2:$F$74,3,0)</f>
        <v>55</v>
      </c>
      <c r="D1439" t="s">
        <v>393</v>
      </c>
      <c r="E1439" s="43" t="s">
        <v>258</v>
      </c>
      <c r="F1439" t="s">
        <v>66</v>
      </c>
      <c r="G1439" s="42">
        <v>33.36</v>
      </c>
      <c r="H1439">
        <v>3.3360000000000001E-2</v>
      </c>
      <c r="K1439" s="1"/>
      <c r="L1439" s="37">
        <f>IF(H1439&gt;30,QUOTIENT(H1439,30)*VLOOKUP(D1439,'报价表-配送'!$B$32:$I$37,8,0),0)+IF(AND(MOD(H1439,30)&gt;18,MOD(H1439,30)&lt;=30),1,0)*VLOOKUP(D1439,'报价表-配送'!$B$32:$I$37,8,0)+IF(AND(MOD(H1439,30)&gt;8,MOD(H1439,30)&lt;=18),1*VLOOKUP(D1439,'报价表-配送'!$B$32:$I$37,7,0),0)+IF(AND(MOD(H1439,30)&lt;=8,MOD(H1439,30)&gt;2.5),1,0)*VLOOKUP(D1439,'报价表-配送'!$B$32:$I$37,6,0)+IF(AND(MOD(H1439,30)&lt;=2.5,MOD(H1439,30)&gt;=1.5),1,0)*VLOOKUP(D1439,'报价表-配送'!$B$32:$I$37,5,0)</f>
        <v>0</v>
      </c>
      <c r="M1439" s="39">
        <f>IF(AND(MOD(H1439,30)&lt;1.5,MOD(H1439,30)&gt;=0.5),H1439,0)*VLOOKUP(D1439,'报价表-配送'!$B$32:$I$37,4,0)*1000+IF(AND(MOD(H1439,30)&lt;0.5,MOD(H1439,30)&gt;=0.02),H1439,0)*VLOOKUP(D1439,'报价表-配送'!$B$32:$I$37,3,0)*1000+IF(AND(MOD(H1439,30)&lt;0.02),H1439,0)*VLOOKUP(D1439,'报价表-配送'!$B$32:$I$37,2,0)*1000</f>
        <v>0</v>
      </c>
      <c r="N1439" s="38">
        <f t="shared" si="21"/>
        <v>0</v>
      </c>
    </row>
    <row r="1440" spans="1:14" x14ac:dyDescent="0.25">
      <c r="A1440" t="s">
        <v>81</v>
      </c>
      <c r="B1440" s="44" t="s">
        <v>158</v>
      </c>
      <c r="C1440" s="62">
        <f>VLOOKUP(B1440,合并仓明细!$D$2:$F$74,3,0)</f>
        <v>55</v>
      </c>
      <c r="D1440" t="s">
        <v>393</v>
      </c>
      <c r="E1440" s="43" t="s">
        <v>273</v>
      </c>
      <c r="F1440" t="s">
        <v>66</v>
      </c>
      <c r="G1440" s="42">
        <v>35.5</v>
      </c>
      <c r="H1440">
        <v>3.5499999999999997E-2</v>
      </c>
      <c r="K1440" s="1"/>
      <c r="L1440" s="37">
        <f>IF(H1440&gt;30,QUOTIENT(H1440,30)*VLOOKUP(D1440,'报价表-配送'!$B$32:$I$37,8,0),0)+IF(AND(MOD(H1440,30)&gt;18,MOD(H1440,30)&lt;=30),1,0)*VLOOKUP(D1440,'报价表-配送'!$B$32:$I$37,8,0)+IF(AND(MOD(H1440,30)&gt;8,MOD(H1440,30)&lt;=18),1*VLOOKUP(D1440,'报价表-配送'!$B$32:$I$37,7,0),0)+IF(AND(MOD(H1440,30)&lt;=8,MOD(H1440,30)&gt;2.5),1,0)*VLOOKUP(D1440,'报价表-配送'!$B$32:$I$37,6,0)+IF(AND(MOD(H1440,30)&lt;=2.5,MOD(H1440,30)&gt;=1.5),1,0)*VLOOKUP(D1440,'报价表-配送'!$B$32:$I$37,5,0)</f>
        <v>0</v>
      </c>
      <c r="M1440" s="39">
        <f>IF(AND(MOD(H1440,30)&lt;1.5,MOD(H1440,30)&gt;=0.5),H1440,0)*VLOOKUP(D1440,'报价表-配送'!$B$32:$I$37,4,0)*1000+IF(AND(MOD(H1440,30)&lt;0.5,MOD(H1440,30)&gt;=0.02),H1440,0)*VLOOKUP(D1440,'报价表-配送'!$B$32:$I$37,3,0)*1000+IF(AND(MOD(H1440,30)&lt;0.02),H1440,0)*VLOOKUP(D1440,'报价表-配送'!$B$32:$I$37,2,0)*1000</f>
        <v>0</v>
      </c>
      <c r="N1440" s="38">
        <f t="shared" ref="N1440:N1503" si="22">SUM(I1440:M1440)</f>
        <v>0</v>
      </c>
    </row>
    <row r="1441" spans="1:14" x14ac:dyDescent="0.25">
      <c r="A1441" t="s">
        <v>81</v>
      </c>
      <c r="B1441" s="44" t="s">
        <v>158</v>
      </c>
      <c r="C1441" s="62">
        <f>VLOOKUP(B1441,合并仓明细!$D$2:$F$74,3,0)</f>
        <v>55</v>
      </c>
      <c r="D1441" t="s">
        <v>393</v>
      </c>
      <c r="E1441" s="43" t="s">
        <v>336</v>
      </c>
      <c r="F1441" t="s">
        <v>66</v>
      </c>
      <c r="G1441" s="42">
        <v>3.6500000000000004</v>
      </c>
      <c r="H1441">
        <v>3.6500000000000005E-3</v>
      </c>
      <c r="K1441" s="1"/>
      <c r="L1441" s="37">
        <f>IF(H1441&gt;30,QUOTIENT(H1441,30)*VLOOKUP(D1441,'报价表-配送'!$B$32:$I$37,8,0),0)+IF(AND(MOD(H1441,30)&gt;18,MOD(H1441,30)&lt;=30),1,0)*VLOOKUP(D1441,'报价表-配送'!$B$32:$I$37,8,0)+IF(AND(MOD(H1441,30)&gt;8,MOD(H1441,30)&lt;=18),1*VLOOKUP(D1441,'报价表-配送'!$B$32:$I$37,7,0),0)+IF(AND(MOD(H1441,30)&lt;=8,MOD(H1441,30)&gt;2.5),1,0)*VLOOKUP(D1441,'报价表-配送'!$B$32:$I$37,6,0)+IF(AND(MOD(H1441,30)&lt;=2.5,MOD(H1441,30)&gt;=1.5),1,0)*VLOOKUP(D1441,'报价表-配送'!$B$32:$I$37,5,0)</f>
        <v>0</v>
      </c>
      <c r="M1441" s="39">
        <f>IF(AND(MOD(H1441,30)&lt;1.5,MOD(H1441,30)&gt;=0.5),H1441,0)*VLOOKUP(D1441,'报价表-配送'!$B$32:$I$37,4,0)*1000+IF(AND(MOD(H1441,30)&lt;0.5,MOD(H1441,30)&gt;=0.02),H1441,0)*VLOOKUP(D1441,'报价表-配送'!$B$32:$I$37,3,0)*1000+IF(AND(MOD(H1441,30)&lt;0.02),H1441,0)*VLOOKUP(D1441,'报价表-配送'!$B$32:$I$37,2,0)*1000</f>
        <v>0</v>
      </c>
      <c r="N1441" s="38">
        <f t="shared" si="22"/>
        <v>0</v>
      </c>
    </row>
    <row r="1442" spans="1:14" x14ac:dyDescent="0.25">
      <c r="A1442" t="s">
        <v>81</v>
      </c>
      <c r="B1442" s="51" t="s">
        <v>158</v>
      </c>
      <c r="C1442" s="62">
        <f>VLOOKUP(B1442,合并仓明细!$D$2:$F$74,3,0)</f>
        <v>55</v>
      </c>
      <c r="D1442" t="s">
        <v>393</v>
      </c>
      <c r="E1442" s="43" t="s">
        <v>275</v>
      </c>
      <c r="F1442" t="s">
        <v>66</v>
      </c>
      <c r="G1442" s="42">
        <v>0.9</v>
      </c>
      <c r="H1442">
        <v>8.9999999999999998E-4</v>
      </c>
      <c r="K1442" s="1"/>
      <c r="L1442" s="37">
        <f>IF(H1442&gt;30,QUOTIENT(H1442,30)*VLOOKUP(D1442,'报价表-配送'!$B$32:$I$37,8,0),0)+IF(AND(MOD(H1442,30)&gt;18,MOD(H1442,30)&lt;=30),1,0)*VLOOKUP(D1442,'报价表-配送'!$B$32:$I$37,8,0)+IF(AND(MOD(H1442,30)&gt;8,MOD(H1442,30)&lt;=18),1*VLOOKUP(D1442,'报价表-配送'!$B$32:$I$37,7,0),0)+IF(AND(MOD(H1442,30)&lt;=8,MOD(H1442,30)&gt;2.5),1,0)*VLOOKUP(D1442,'报价表-配送'!$B$32:$I$37,6,0)+IF(AND(MOD(H1442,30)&lt;=2.5,MOD(H1442,30)&gt;=1.5),1,0)*VLOOKUP(D1442,'报价表-配送'!$B$32:$I$37,5,0)</f>
        <v>0</v>
      </c>
      <c r="M1442" s="39">
        <f>IF(AND(MOD(H1442,30)&lt;1.5,MOD(H1442,30)&gt;=0.5),H1442,0)*VLOOKUP(D1442,'报价表-配送'!$B$32:$I$37,4,0)*1000+IF(AND(MOD(H1442,30)&lt;0.5,MOD(H1442,30)&gt;=0.02),H1442,0)*VLOOKUP(D1442,'报价表-配送'!$B$32:$I$37,3,0)*1000+IF(AND(MOD(H1442,30)&lt;0.02),H1442,0)*VLOOKUP(D1442,'报价表-配送'!$B$32:$I$37,2,0)*1000</f>
        <v>0</v>
      </c>
      <c r="N1442" s="38">
        <f t="shared" si="22"/>
        <v>0</v>
      </c>
    </row>
    <row r="1443" spans="1:14" x14ac:dyDescent="0.25">
      <c r="A1443" t="s">
        <v>81</v>
      </c>
      <c r="B1443" s="44" t="s">
        <v>158</v>
      </c>
      <c r="C1443" s="62">
        <f>VLOOKUP(B1443,合并仓明细!$D$2:$F$74,3,0)</f>
        <v>55</v>
      </c>
      <c r="D1443" t="s">
        <v>393</v>
      </c>
      <c r="E1443" s="43" t="s">
        <v>313</v>
      </c>
      <c r="F1443" t="s">
        <v>67</v>
      </c>
      <c r="G1443" s="42">
        <v>3581.16</v>
      </c>
      <c r="H1443">
        <v>3.5868099999999998</v>
      </c>
      <c r="I1443" s="38">
        <f>IF(H1443&gt;30,QUOTIENT(H1443,30)*VLOOKUP(D1443,'报价表-配送'!$B$32:$I$37,8,0),0)+IF(AND(MOD(H1443,30)&gt;18,MOD(H1443,30)&lt;=30),1,0)*VLOOKUP(D1443,'报价表-配送'!$B$32:$I$37,8,0)</f>
        <v>0</v>
      </c>
      <c r="J1443" s="38">
        <f>IF(AND(MOD(H1443,30)&gt;8,MOD(H1443,30)&lt;=18),1*VLOOKUP(D1443,'报价表-配送'!$B$32:$I$37,7,0),0)</f>
        <v>0</v>
      </c>
      <c r="K1443" s="38">
        <f>IF(AND(MOD(H1443,30)&lt;=8,MOD(H1443,30)&gt;0),1,0)*VLOOKUP(D1443,'报价表-配送'!$B$32:$I$37,6,0)</f>
        <v>0</v>
      </c>
      <c r="L1443" s="33"/>
      <c r="M1443" s="1"/>
      <c r="N1443" s="38">
        <f t="shared" si="22"/>
        <v>0</v>
      </c>
    </row>
    <row r="1444" spans="1:14" x14ac:dyDescent="0.25">
      <c r="A1444" t="s">
        <v>81</v>
      </c>
      <c r="B1444" s="44" t="s">
        <v>158</v>
      </c>
      <c r="C1444" s="62">
        <f>VLOOKUP(B1444,合并仓明细!$D$2:$F$74,3,0)</f>
        <v>55</v>
      </c>
      <c r="D1444" t="s">
        <v>393</v>
      </c>
      <c r="E1444" s="43" t="s">
        <v>313</v>
      </c>
      <c r="F1444" t="s">
        <v>66</v>
      </c>
      <c r="G1444" s="42">
        <v>5.65</v>
      </c>
      <c r="H1444"/>
      <c r="K1444" s="1"/>
      <c r="L1444" s="33"/>
      <c r="M1444" s="1"/>
      <c r="N1444" s="38">
        <f t="shared" si="22"/>
        <v>0</v>
      </c>
    </row>
    <row r="1445" spans="1:14" x14ac:dyDescent="0.25">
      <c r="A1445" t="s">
        <v>81</v>
      </c>
      <c r="B1445" s="44" t="s">
        <v>158</v>
      </c>
      <c r="C1445" s="62">
        <f>VLOOKUP(B1445,合并仓明细!$D$2:$F$74,3,0)</f>
        <v>55</v>
      </c>
      <c r="D1445" t="s">
        <v>393</v>
      </c>
      <c r="E1445" s="43" t="s">
        <v>286</v>
      </c>
      <c r="F1445" t="s">
        <v>66</v>
      </c>
      <c r="G1445" s="42">
        <v>36.200000000000003</v>
      </c>
      <c r="H1445">
        <v>3.6200000000000003E-2</v>
      </c>
      <c r="I1445" s="46"/>
      <c r="K1445" s="1"/>
      <c r="L1445" s="37">
        <f>IF(H1445&gt;30,QUOTIENT(H1445,30)*VLOOKUP(D1445,'报价表-配送'!$B$32:$I$37,8,0),0)+IF(AND(MOD(H1445,30)&gt;18,MOD(H1445,30)&lt;=30),1,0)*VLOOKUP(D1445,'报价表-配送'!$B$32:$I$37,8,0)+IF(AND(MOD(H1445,30)&gt;8,MOD(H1445,30)&lt;=18),1*VLOOKUP(D1445,'报价表-配送'!$B$32:$I$37,7,0),0)+IF(AND(MOD(H1445,30)&lt;=8,MOD(H1445,30)&gt;2.5),1,0)*VLOOKUP(D1445,'报价表-配送'!$B$32:$I$37,6,0)+IF(AND(MOD(H1445,30)&lt;=2.5,MOD(H1445,30)&gt;=1.5),1,0)*VLOOKUP(D1445,'报价表-配送'!$B$32:$I$37,5,0)</f>
        <v>0</v>
      </c>
      <c r="M1445" s="39">
        <f>IF(AND(MOD(H1445,30)&lt;1.5,MOD(H1445,30)&gt;=0.5),H1445,0)*VLOOKUP(D1445,'报价表-配送'!$B$32:$I$37,4,0)*1000+IF(AND(MOD(H1445,30)&lt;0.5,MOD(H1445,30)&gt;=0.02),H1445,0)*VLOOKUP(D1445,'报价表-配送'!$B$32:$I$37,3,0)*1000+IF(AND(MOD(H1445,30)&lt;0.02),H1445,0)*VLOOKUP(D1445,'报价表-配送'!$B$32:$I$37,2,0)*1000</f>
        <v>0</v>
      </c>
      <c r="N1445" s="38">
        <f t="shared" si="22"/>
        <v>0</v>
      </c>
    </row>
    <row r="1446" spans="1:14" x14ac:dyDescent="0.25">
      <c r="A1446" t="s">
        <v>81</v>
      </c>
      <c r="B1446" s="44" t="s">
        <v>158</v>
      </c>
      <c r="C1446" s="62">
        <f>VLOOKUP(B1446,合并仓明细!$D$2:$F$74,3,0)</f>
        <v>55</v>
      </c>
      <c r="D1446" t="s">
        <v>393</v>
      </c>
      <c r="E1446" s="43" t="s">
        <v>288</v>
      </c>
      <c r="F1446" t="s">
        <v>66</v>
      </c>
      <c r="G1446" s="42">
        <v>8.43</v>
      </c>
      <c r="H1446">
        <v>8.43E-3</v>
      </c>
      <c r="K1446" s="1"/>
      <c r="L1446" s="37">
        <f>IF(H1446&gt;30,QUOTIENT(H1446,30)*VLOOKUP(D1446,'报价表-配送'!$B$32:$I$37,8,0),0)+IF(AND(MOD(H1446,30)&gt;18,MOD(H1446,30)&lt;=30),1,0)*VLOOKUP(D1446,'报价表-配送'!$B$32:$I$37,8,0)+IF(AND(MOD(H1446,30)&gt;8,MOD(H1446,30)&lt;=18),1*VLOOKUP(D1446,'报价表-配送'!$B$32:$I$37,7,0),0)+IF(AND(MOD(H1446,30)&lt;=8,MOD(H1446,30)&gt;2.5),1,0)*VLOOKUP(D1446,'报价表-配送'!$B$32:$I$37,6,0)+IF(AND(MOD(H1446,30)&lt;=2.5,MOD(H1446,30)&gt;=1.5),1,0)*VLOOKUP(D1446,'报价表-配送'!$B$32:$I$37,5,0)</f>
        <v>0</v>
      </c>
      <c r="M1446" s="39">
        <f>IF(AND(MOD(H1446,30)&lt;1.5,MOD(H1446,30)&gt;=0.5),H1446,0)*VLOOKUP(D1446,'报价表-配送'!$B$32:$I$37,4,0)*1000+IF(AND(MOD(H1446,30)&lt;0.5,MOD(H1446,30)&gt;=0.02),H1446,0)*VLOOKUP(D1446,'报价表-配送'!$B$32:$I$37,3,0)*1000+IF(AND(MOD(H1446,30)&lt;0.02),H1446,0)*VLOOKUP(D1446,'报价表-配送'!$B$32:$I$37,2,0)*1000</f>
        <v>0</v>
      </c>
      <c r="N1446" s="38">
        <f t="shared" si="22"/>
        <v>0</v>
      </c>
    </row>
    <row r="1447" spans="1:14" x14ac:dyDescent="0.25">
      <c r="A1447" t="s">
        <v>81</v>
      </c>
      <c r="B1447" s="44" t="s">
        <v>158</v>
      </c>
      <c r="C1447" s="62">
        <f>VLOOKUP(B1447,合并仓明细!$D$2:$F$74,3,0)</f>
        <v>55</v>
      </c>
      <c r="D1447" t="s">
        <v>393</v>
      </c>
      <c r="E1447" s="43" t="s">
        <v>247</v>
      </c>
      <c r="F1447" t="s">
        <v>67</v>
      </c>
      <c r="G1447" s="42">
        <v>8296.68</v>
      </c>
      <c r="H1447">
        <v>9.7404900000000012</v>
      </c>
      <c r="I1447" s="38">
        <f>IF(H1447&gt;30,QUOTIENT(H1447,30)*VLOOKUP(D1447,'报价表-配送'!$B$32:$I$37,8,0),0)+IF(AND(MOD(H1447,30)&gt;18,MOD(H1447,30)&lt;=30),1,0)*VLOOKUP(D1447,'报价表-配送'!$B$32:$I$37,8,0)</f>
        <v>0</v>
      </c>
      <c r="J1447" s="38">
        <f>IF(AND(MOD(H1447,30)&gt;8,MOD(H1447,30)&lt;=18),1*VLOOKUP(D1447,'报价表-配送'!$B$32:$I$37,7,0),0)</f>
        <v>0</v>
      </c>
      <c r="K1447" s="38">
        <f>IF(AND(MOD(H1447,30)&lt;=8,MOD(H1447,30)&gt;0),1,0)*VLOOKUP(D1447,'报价表-配送'!$B$32:$I$37,6,0)</f>
        <v>0</v>
      </c>
      <c r="L1447" s="33"/>
      <c r="M1447" s="1"/>
      <c r="N1447" s="38">
        <f t="shared" si="22"/>
        <v>0</v>
      </c>
    </row>
    <row r="1448" spans="1:14" x14ac:dyDescent="0.25">
      <c r="A1448" t="s">
        <v>81</v>
      </c>
      <c r="B1448" s="44" t="s">
        <v>158</v>
      </c>
      <c r="C1448" s="62">
        <f>VLOOKUP(B1448,合并仓明细!$D$2:$F$74,3,0)</f>
        <v>55</v>
      </c>
      <c r="D1448" t="s">
        <v>393</v>
      </c>
      <c r="E1448" s="43" t="s">
        <v>247</v>
      </c>
      <c r="F1448" t="s">
        <v>66</v>
      </c>
      <c r="G1448" s="42">
        <v>1443.8100000000004</v>
      </c>
      <c r="H1448"/>
      <c r="I1448" s="38"/>
      <c r="J1448" s="38"/>
      <c r="K1448" s="38"/>
      <c r="L1448" s="33"/>
      <c r="M1448" s="1"/>
      <c r="N1448" s="38">
        <f t="shared" si="22"/>
        <v>0</v>
      </c>
    </row>
    <row r="1449" spans="1:14" x14ac:dyDescent="0.25">
      <c r="A1449" t="s">
        <v>81</v>
      </c>
      <c r="B1449" s="44" t="s">
        <v>158</v>
      </c>
      <c r="C1449" s="62">
        <f>VLOOKUP(B1449,合并仓明细!$D$2:$F$74,3,0)</f>
        <v>55</v>
      </c>
      <c r="D1449" t="s">
        <v>393</v>
      </c>
      <c r="E1449" s="43" t="s">
        <v>290</v>
      </c>
      <c r="F1449" t="s">
        <v>67</v>
      </c>
      <c r="G1449" s="42">
        <v>0</v>
      </c>
      <c r="H1449">
        <v>3.7099999999999998E-3</v>
      </c>
      <c r="I1449" s="38">
        <f>IF(H1449&gt;30,QUOTIENT(H1449,30)*VLOOKUP(D1449,'报价表-配送'!$B$32:$I$37,8,0),0)+IF(AND(MOD(H1449,30)&gt;18,MOD(H1449,30)&lt;=30),1,0)*VLOOKUP(D1449,'报价表-配送'!$B$32:$I$37,8,0)</f>
        <v>0</v>
      </c>
      <c r="J1449" s="38">
        <f>IF(AND(MOD(H1449,30)&gt;8,MOD(H1449,30)&lt;=18),1*VLOOKUP(D1449,'报价表-配送'!$B$32:$I$37,7,0),0)</f>
        <v>0</v>
      </c>
      <c r="K1449" s="38">
        <f>IF(AND(MOD(H1449,30)&lt;=8,MOD(H1449,30)&gt;0),1,0)*VLOOKUP(D1449,'报价表-配送'!$B$32:$I$37,6,0)</f>
        <v>0</v>
      </c>
      <c r="L1449" s="33"/>
      <c r="M1449" s="1"/>
      <c r="N1449" s="38">
        <f t="shared" si="22"/>
        <v>0</v>
      </c>
    </row>
    <row r="1450" spans="1:14" x14ac:dyDescent="0.25">
      <c r="A1450" t="s">
        <v>81</v>
      </c>
      <c r="B1450" s="44" t="s">
        <v>158</v>
      </c>
      <c r="C1450" s="62">
        <f>VLOOKUP(B1450,合并仓明细!$D$2:$F$74,3,0)</f>
        <v>55</v>
      </c>
      <c r="D1450" t="s">
        <v>393</v>
      </c>
      <c r="E1450" s="43" t="s">
        <v>290</v>
      </c>
      <c r="F1450" t="s">
        <v>66</v>
      </c>
      <c r="G1450" s="42">
        <v>3.71</v>
      </c>
      <c r="H1450"/>
      <c r="K1450" s="1"/>
      <c r="L1450" s="37"/>
      <c r="M1450" s="39"/>
      <c r="N1450" s="38">
        <f t="shared" si="22"/>
        <v>0</v>
      </c>
    </row>
    <row r="1451" spans="1:14" x14ac:dyDescent="0.25">
      <c r="A1451" t="s">
        <v>81</v>
      </c>
      <c r="B1451" s="44" t="s">
        <v>158</v>
      </c>
      <c r="C1451" s="62">
        <f>VLOOKUP(B1451,合并仓明细!$D$2:$F$74,3,0)</f>
        <v>55</v>
      </c>
      <c r="D1451" t="s">
        <v>393</v>
      </c>
      <c r="E1451" s="43" t="s">
        <v>341</v>
      </c>
      <c r="F1451" t="s">
        <v>66</v>
      </c>
      <c r="G1451" s="42">
        <v>91.2</v>
      </c>
      <c r="H1451">
        <v>9.1200000000000003E-2</v>
      </c>
      <c r="I1451" s="46"/>
      <c r="K1451" s="1"/>
      <c r="L1451" s="37">
        <f>IF(H1451&gt;30,QUOTIENT(H1451,30)*VLOOKUP(D1451,'报价表-配送'!$B$32:$I$37,8,0),0)+IF(AND(MOD(H1451,30)&gt;18,MOD(H1451,30)&lt;=30),1,0)*VLOOKUP(D1451,'报价表-配送'!$B$32:$I$37,8,0)+IF(AND(MOD(H1451,30)&gt;8,MOD(H1451,30)&lt;=18),1*VLOOKUP(D1451,'报价表-配送'!$B$32:$I$37,7,0),0)+IF(AND(MOD(H1451,30)&lt;=8,MOD(H1451,30)&gt;2.5),1,0)*VLOOKUP(D1451,'报价表-配送'!$B$32:$I$37,6,0)+IF(AND(MOD(H1451,30)&lt;=2.5,MOD(H1451,30)&gt;=1.5),1,0)*VLOOKUP(D1451,'报价表-配送'!$B$32:$I$37,5,0)</f>
        <v>0</v>
      </c>
      <c r="M1451" s="39">
        <f>IF(AND(MOD(H1451,30)&lt;1.5,MOD(H1451,30)&gt;=0.5),H1451,0)*VLOOKUP(D1451,'报价表-配送'!$B$32:$I$37,4,0)*1000+IF(AND(MOD(H1451,30)&lt;0.5,MOD(H1451,30)&gt;=0.02),H1451,0)*VLOOKUP(D1451,'报价表-配送'!$B$32:$I$37,3,0)*1000+IF(AND(MOD(H1451,30)&lt;0.02),H1451,0)*VLOOKUP(D1451,'报价表-配送'!$B$32:$I$37,2,0)*1000</f>
        <v>0</v>
      </c>
      <c r="N1451" s="38">
        <f t="shared" si="22"/>
        <v>0</v>
      </c>
    </row>
    <row r="1452" spans="1:14" x14ac:dyDescent="0.25">
      <c r="A1452" t="s">
        <v>81</v>
      </c>
      <c r="B1452" s="44" t="s">
        <v>158</v>
      </c>
      <c r="C1452" s="62">
        <f>VLOOKUP(B1452,合并仓明细!$D$2:$F$74,3,0)</f>
        <v>55</v>
      </c>
      <c r="D1452" t="s">
        <v>393</v>
      </c>
      <c r="E1452" s="43" t="s">
        <v>359</v>
      </c>
      <c r="F1452" t="s">
        <v>66</v>
      </c>
      <c r="G1452" s="42">
        <v>14.24</v>
      </c>
      <c r="H1452">
        <v>1.4240000000000001E-2</v>
      </c>
      <c r="K1452" s="1"/>
      <c r="L1452" s="37">
        <f>IF(H1452&gt;30,QUOTIENT(H1452,30)*VLOOKUP(D1452,'报价表-配送'!$B$32:$I$37,8,0),0)+IF(AND(MOD(H1452,30)&gt;18,MOD(H1452,30)&lt;=30),1,0)*VLOOKUP(D1452,'报价表-配送'!$B$32:$I$37,8,0)+IF(AND(MOD(H1452,30)&gt;8,MOD(H1452,30)&lt;=18),1*VLOOKUP(D1452,'报价表-配送'!$B$32:$I$37,7,0),0)+IF(AND(MOD(H1452,30)&lt;=8,MOD(H1452,30)&gt;2.5),1,0)*VLOOKUP(D1452,'报价表-配送'!$B$32:$I$37,6,0)+IF(AND(MOD(H1452,30)&lt;=2.5,MOD(H1452,30)&gt;=1.5),1,0)*VLOOKUP(D1452,'报价表-配送'!$B$32:$I$37,5,0)</f>
        <v>0</v>
      </c>
      <c r="M1452" s="39">
        <f>IF(AND(MOD(H1452,30)&lt;1.5,MOD(H1452,30)&gt;=0.5),H1452,0)*VLOOKUP(D1452,'报价表-配送'!$B$32:$I$37,4,0)*1000+IF(AND(MOD(H1452,30)&lt;0.5,MOD(H1452,30)&gt;=0.02),H1452,0)*VLOOKUP(D1452,'报价表-配送'!$B$32:$I$37,3,0)*1000+IF(AND(MOD(H1452,30)&lt;0.02),H1452,0)*VLOOKUP(D1452,'报价表-配送'!$B$32:$I$37,2,0)*1000</f>
        <v>0</v>
      </c>
      <c r="N1452" s="38">
        <f t="shared" si="22"/>
        <v>0</v>
      </c>
    </row>
    <row r="1453" spans="1:14" x14ac:dyDescent="0.25">
      <c r="A1453" t="s">
        <v>81</v>
      </c>
      <c r="B1453" s="44" t="s">
        <v>158</v>
      </c>
      <c r="C1453" s="62">
        <f>VLOOKUP(B1453,合并仓明细!$D$2:$F$74,3,0)</f>
        <v>55</v>
      </c>
      <c r="D1453" t="s">
        <v>393</v>
      </c>
      <c r="E1453" s="43" t="s">
        <v>364</v>
      </c>
      <c r="F1453" t="s">
        <v>66</v>
      </c>
      <c r="G1453" s="42">
        <v>46.260000000000005</v>
      </c>
      <c r="H1453">
        <v>4.6260000000000003E-2</v>
      </c>
      <c r="I1453" s="46"/>
      <c r="K1453" s="1"/>
      <c r="L1453" s="37">
        <f>IF(H1453&gt;30,QUOTIENT(H1453,30)*VLOOKUP(D1453,'报价表-配送'!$B$32:$I$37,8,0),0)+IF(AND(MOD(H1453,30)&gt;18,MOD(H1453,30)&lt;=30),1,0)*VLOOKUP(D1453,'报价表-配送'!$B$32:$I$37,8,0)+IF(AND(MOD(H1453,30)&gt;8,MOD(H1453,30)&lt;=18),1*VLOOKUP(D1453,'报价表-配送'!$B$32:$I$37,7,0),0)+IF(AND(MOD(H1453,30)&lt;=8,MOD(H1453,30)&gt;2.5),1,0)*VLOOKUP(D1453,'报价表-配送'!$B$32:$I$37,6,0)+IF(AND(MOD(H1453,30)&lt;=2.5,MOD(H1453,30)&gt;=1.5),1,0)*VLOOKUP(D1453,'报价表-配送'!$B$32:$I$37,5,0)</f>
        <v>0</v>
      </c>
      <c r="M1453" s="39">
        <f>IF(AND(MOD(H1453,30)&lt;1.5,MOD(H1453,30)&gt;=0.5),H1453,0)*VLOOKUP(D1453,'报价表-配送'!$B$32:$I$37,4,0)*1000+IF(AND(MOD(H1453,30)&lt;0.5,MOD(H1453,30)&gt;=0.02),H1453,0)*VLOOKUP(D1453,'报价表-配送'!$B$32:$I$37,3,0)*1000+IF(AND(MOD(H1453,30)&lt;0.02),H1453,0)*VLOOKUP(D1453,'报价表-配送'!$B$32:$I$37,2,0)*1000</f>
        <v>0</v>
      </c>
      <c r="N1453" s="38">
        <f t="shared" si="22"/>
        <v>0</v>
      </c>
    </row>
    <row r="1454" spans="1:14" x14ac:dyDescent="0.25">
      <c r="A1454" t="s">
        <v>81</v>
      </c>
      <c r="B1454" s="44" t="s">
        <v>158</v>
      </c>
      <c r="C1454" s="62">
        <f>VLOOKUP(B1454,合并仓明细!$D$2:$F$74,3,0)</f>
        <v>55</v>
      </c>
      <c r="D1454" t="s">
        <v>393</v>
      </c>
      <c r="E1454" s="43" t="s">
        <v>295</v>
      </c>
      <c r="F1454" t="s">
        <v>68</v>
      </c>
      <c r="G1454" s="42">
        <v>263.88</v>
      </c>
      <c r="H1454">
        <v>3.15096</v>
      </c>
      <c r="I1454" s="46">
        <f>ROUNDUP(H1454/30,0)*VLOOKUP(D1454,'报价表-配送'!$B$32:$I$37,8,0)</f>
        <v>0</v>
      </c>
      <c r="K1454" s="1"/>
      <c r="L1454" s="33"/>
      <c r="M1454" s="1"/>
      <c r="N1454" s="38">
        <f t="shared" si="22"/>
        <v>0</v>
      </c>
    </row>
    <row r="1455" spans="1:14" x14ac:dyDescent="0.25">
      <c r="A1455" t="s">
        <v>81</v>
      </c>
      <c r="B1455" s="44" t="s">
        <v>158</v>
      </c>
      <c r="C1455" s="62">
        <f>VLOOKUP(B1455,合并仓明细!$D$2:$F$74,3,0)</f>
        <v>55</v>
      </c>
      <c r="D1455" t="s">
        <v>393</v>
      </c>
      <c r="E1455" s="43" t="s">
        <v>295</v>
      </c>
      <c r="F1455" t="s">
        <v>67</v>
      </c>
      <c r="G1455" s="42">
        <v>1984.89</v>
      </c>
      <c r="H1455"/>
      <c r="I1455" s="46"/>
      <c r="K1455" s="1"/>
      <c r="L1455" s="33"/>
      <c r="M1455" s="1"/>
      <c r="N1455" s="38">
        <f t="shared" si="22"/>
        <v>0</v>
      </c>
    </row>
    <row r="1456" spans="1:14" x14ac:dyDescent="0.25">
      <c r="A1456" t="s">
        <v>81</v>
      </c>
      <c r="B1456" s="44" t="s">
        <v>158</v>
      </c>
      <c r="C1456" s="62">
        <f>VLOOKUP(B1456,合并仓明细!$D$2:$F$74,3,0)</f>
        <v>55</v>
      </c>
      <c r="D1456" t="s">
        <v>393</v>
      </c>
      <c r="E1456" s="43" t="s">
        <v>295</v>
      </c>
      <c r="F1456" t="s">
        <v>66</v>
      </c>
      <c r="G1456" s="42">
        <v>902.18999999999994</v>
      </c>
      <c r="H1456"/>
      <c r="K1456" s="1"/>
      <c r="L1456" s="33"/>
      <c r="M1456" s="1"/>
      <c r="N1456" s="38">
        <f t="shared" si="22"/>
        <v>0</v>
      </c>
    </row>
    <row r="1457" spans="1:14" x14ac:dyDescent="0.25">
      <c r="A1457" t="s">
        <v>81</v>
      </c>
      <c r="B1457" s="44" t="s">
        <v>158</v>
      </c>
      <c r="C1457" s="62">
        <f>VLOOKUP(B1457,合并仓明细!$D$2:$F$74,3,0)</f>
        <v>55</v>
      </c>
      <c r="D1457" t="s">
        <v>393</v>
      </c>
      <c r="E1457" s="43" t="s">
        <v>296</v>
      </c>
      <c r="F1457" t="s">
        <v>66</v>
      </c>
      <c r="G1457" s="42">
        <v>38.6</v>
      </c>
      <c r="H1457">
        <v>3.8600000000000002E-2</v>
      </c>
      <c r="K1457" s="1"/>
      <c r="L1457" s="37">
        <f>IF(H1457&gt;30,QUOTIENT(H1457,30)*VLOOKUP(D1457,'报价表-配送'!$B$32:$I$37,8,0),0)+IF(AND(MOD(H1457,30)&gt;18,MOD(H1457,30)&lt;=30),1,0)*VLOOKUP(D1457,'报价表-配送'!$B$32:$I$37,8,0)+IF(AND(MOD(H1457,30)&gt;8,MOD(H1457,30)&lt;=18),1*VLOOKUP(D1457,'报价表-配送'!$B$32:$I$37,7,0),0)+IF(AND(MOD(H1457,30)&lt;=8,MOD(H1457,30)&gt;2.5),1,0)*VLOOKUP(D1457,'报价表-配送'!$B$32:$I$37,6,0)+IF(AND(MOD(H1457,30)&lt;=2.5,MOD(H1457,30)&gt;=1.5),1,0)*VLOOKUP(D1457,'报价表-配送'!$B$32:$I$37,5,0)</f>
        <v>0</v>
      </c>
      <c r="M1457" s="39">
        <f>IF(AND(MOD(H1457,30)&lt;1.5,MOD(H1457,30)&gt;=0.5),H1457,0)*VLOOKUP(D1457,'报价表-配送'!$B$32:$I$37,4,0)*1000+IF(AND(MOD(H1457,30)&lt;0.5,MOD(H1457,30)&gt;=0.02),H1457,0)*VLOOKUP(D1457,'报价表-配送'!$B$32:$I$37,3,0)*1000+IF(AND(MOD(H1457,30)&lt;0.02),H1457,0)*VLOOKUP(D1457,'报价表-配送'!$B$32:$I$37,2,0)*1000</f>
        <v>0</v>
      </c>
      <c r="N1457" s="38">
        <f t="shared" si="22"/>
        <v>0</v>
      </c>
    </row>
    <row r="1458" spans="1:14" x14ac:dyDescent="0.25">
      <c r="A1458" t="s">
        <v>81</v>
      </c>
      <c r="B1458" s="44" t="s">
        <v>158</v>
      </c>
      <c r="C1458" s="62">
        <f>VLOOKUP(B1458,合并仓明细!$D$2:$F$74,3,0)</f>
        <v>55</v>
      </c>
      <c r="D1458" t="s">
        <v>393</v>
      </c>
      <c r="E1458" s="43" t="s">
        <v>249</v>
      </c>
      <c r="F1458" t="s">
        <v>66</v>
      </c>
      <c r="G1458" s="42">
        <v>140.82999999999998</v>
      </c>
      <c r="H1458">
        <v>0.14082999999999998</v>
      </c>
      <c r="I1458" s="46"/>
      <c r="K1458" s="1"/>
      <c r="L1458" s="37">
        <f>IF(H1458&gt;30,QUOTIENT(H1458,30)*VLOOKUP(D1458,'报价表-配送'!$B$32:$I$37,8,0),0)+IF(AND(MOD(H1458,30)&gt;18,MOD(H1458,30)&lt;=30),1,0)*VLOOKUP(D1458,'报价表-配送'!$B$32:$I$37,8,0)+IF(AND(MOD(H1458,30)&gt;8,MOD(H1458,30)&lt;=18),1*VLOOKUP(D1458,'报价表-配送'!$B$32:$I$37,7,0),0)+IF(AND(MOD(H1458,30)&lt;=8,MOD(H1458,30)&gt;2.5),1,0)*VLOOKUP(D1458,'报价表-配送'!$B$32:$I$37,6,0)+IF(AND(MOD(H1458,30)&lt;=2.5,MOD(H1458,30)&gt;=1.5),1,0)*VLOOKUP(D1458,'报价表-配送'!$B$32:$I$37,5,0)</f>
        <v>0</v>
      </c>
      <c r="M1458" s="39">
        <f>IF(AND(MOD(H1458,30)&lt;1.5,MOD(H1458,30)&gt;=0.5),H1458,0)*VLOOKUP(D1458,'报价表-配送'!$B$32:$I$37,4,0)*1000+IF(AND(MOD(H1458,30)&lt;0.5,MOD(H1458,30)&gt;=0.02),H1458,0)*VLOOKUP(D1458,'报价表-配送'!$B$32:$I$37,3,0)*1000+IF(AND(MOD(H1458,30)&lt;0.02),H1458,0)*VLOOKUP(D1458,'报价表-配送'!$B$32:$I$37,2,0)*1000</f>
        <v>0</v>
      </c>
      <c r="N1458" s="38">
        <f t="shared" si="22"/>
        <v>0</v>
      </c>
    </row>
    <row r="1459" spans="1:14" x14ac:dyDescent="0.25">
      <c r="A1459" t="s">
        <v>81</v>
      </c>
      <c r="B1459" s="44" t="s">
        <v>158</v>
      </c>
      <c r="C1459" s="62">
        <f>VLOOKUP(B1459,合并仓明细!$D$2:$F$74,3,0)</f>
        <v>55</v>
      </c>
      <c r="D1459" t="s">
        <v>393</v>
      </c>
      <c r="E1459" s="43" t="s">
        <v>299</v>
      </c>
      <c r="F1459" t="s">
        <v>66</v>
      </c>
      <c r="G1459" s="42">
        <v>3.8</v>
      </c>
      <c r="H1459">
        <v>3.8E-3</v>
      </c>
      <c r="K1459" s="1"/>
      <c r="L1459" s="37">
        <f>IF(H1459&gt;30,QUOTIENT(H1459,30)*VLOOKUP(D1459,'报价表-配送'!$B$32:$I$37,8,0),0)+IF(AND(MOD(H1459,30)&gt;18,MOD(H1459,30)&lt;=30),1,0)*VLOOKUP(D1459,'报价表-配送'!$B$32:$I$37,8,0)+IF(AND(MOD(H1459,30)&gt;8,MOD(H1459,30)&lt;=18),1*VLOOKUP(D1459,'报价表-配送'!$B$32:$I$37,7,0),0)+IF(AND(MOD(H1459,30)&lt;=8,MOD(H1459,30)&gt;2.5),1,0)*VLOOKUP(D1459,'报价表-配送'!$B$32:$I$37,6,0)+IF(AND(MOD(H1459,30)&lt;=2.5,MOD(H1459,30)&gt;=1.5),1,0)*VLOOKUP(D1459,'报价表-配送'!$B$32:$I$37,5,0)</f>
        <v>0</v>
      </c>
      <c r="M1459" s="39">
        <f>IF(AND(MOD(H1459,30)&lt;1.5,MOD(H1459,30)&gt;=0.5),H1459,0)*VLOOKUP(D1459,'报价表-配送'!$B$32:$I$37,4,0)*1000+IF(AND(MOD(H1459,30)&lt;0.5,MOD(H1459,30)&gt;=0.02),H1459,0)*VLOOKUP(D1459,'报价表-配送'!$B$32:$I$37,3,0)*1000+IF(AND(MOD(H1459,30)&lt;0.02),H1459,0)*VLOOKUP(D1459,'报价表-配送'!$B$32:$I$37,2,0)*1000</f>
        <v>0</v>
      </c>
      <c r="N1459" s="38">
        <f t="shared" si="22"/>
        <v>0</v>
      </c>
    </row>
    <row r="1460" spans="1:14" x14ac:dyDescent="0.25">
      <c r="A1460" t="s">
        <v>81</v>
      </c>
      <c r="B1460" s="44" t="s">
        <v>158</v>
      </c>
      <c r="C1460" s="62">
        <f>VLOOKUP(B1460,合并仓明细!$D$2:$F$74,3,0)</f>
        <v>55</v>
      </c>
      <c r="D1460" t="s">
        <v>393</v>
      </c>
      <c r="E1460" s="43" t="s">
        <v>343</v>
      </c>
      <c r="F1460" t="s">
        <v>66</v>
      </c>
      <c r="G1460" s="42">
        <v>148.76000000000002</v>
      </c>
      <c r="H1460">
        <v>0.14876000000000003</v>
      </c>
      <c r="I1460" s="46"/>
      <c r="K1460" s="1"/>
      <c r="L1460" s="37">
        <f>IF(H1460&gt;30,QUOTIENT(H1460,30)*VLOOKUP(D1460,'报价表-配送'!$B$32:$I$37,8,0),0)+IF(AND(MOD(H1460,30)&gt;18,MOD(H1460,30)&lt;=30),1,0)*VLOOKUP(D1460,'报价表-配送'!$B$32:$I$37,8,0)+IF(AND(MOD(H1460,30)&gt;8,MOD(H1460,30)&lt;=18),1*VLOOKUP(D1460,'报价表-配送'!$B$32:$I$37,7,0),0)+IF(AND(MOD(H1460,30)&lt;=8,MOD(H1460,30)&gt;2.5),1,0)*VLOOKUP(D1460,'报价表-配送'!$B$32:$I$37,6,0)+IF(AND(MOD(H1460,30)&lt;=2.5,MOD(H1460,30)&gt;=1.5),1,0)*VLOOKUP(D1460,'报价表-配送'!$B$32:$I$37,5,0)</f>
        <v>0</v>
      </c>
      <c r="M1460" s="39">
        <f>IF(AND(MOD(H1460,30)&lt;1.5,MOD(H1460,30)&gt;=0.5),H1460,0)*VLOOKUP(D1460,'报价表-配送'!$B$32:$I$37,4,0)*1000+IF(AND(MOD(H1460,30)&lt;0.5,MOD(H1460,30)&gt;=0.02),H1460,0)*VLOOKUP(D1460,'报价表-配送'!$B$32:$I$37,3,0)*1000+IF(AND(MOD(H1460,30)&lt;0.02),H1460,0)*VLOOKUP(D1460,'报价表-配送'!$B$32:$I$37,2,0)*1000</f>
        <v>0</v>
      </c>
      <c r="N1460" s="38">
        <f t="shared" si="22"/>
        <v>0</v>
      </c>
    </row>
    <row r="1461" spans="1:14" x14ac:dyDescent="0.25">
      <c r="A1461" t="s">
        <v>81</v>
      </c>
      <c r="B1461" s="44" t="s">
        <v>158</v>
      </c>
      <c r="C1461" s="62">
        <f>VLOOKUP(B1461,合并仓明细!$D$2:$F$74,3,0)</f>
        <v>55</v>
      </c>
      <c r="D1461" t="s">
        <v>393</v>
      </c>
      <c r="E1461" s="43" t="s">
        <v>320</v>
      </c>
      <c r="F1461" t="s">
        <v>66</v>
      </c>
      <c r="G1461" s="42">
        <v>80</v>
      </c>
      <c r="H1461">
        <v>0.08</v>
      </c>
      <c r="K1461" s="1"/>
      <c r="L1461" s="37">
        <f>IF(H1461&gt;30,QUOTIENT(H1461,30)*VLOOKUP(D1461,'报价表-配送'!$B$32:$I$37,8,0),0)+IF(AND(MOD(H1461,30)&gt;18,MOD(H1461,30)&lt;=30),1,0)*VLOOKUP(D1461,'报价表-配送'!$B$32:$I$37,8,0)+IF(AND(MOD(H1461,30)&gt;8,MOD(H1461,30)&lt;=18),1*VLOOKUP(D1461,'报价表-配送'!$B$32:$I$37,7,0),0)+IF(AND(MOD(H1461,30)&lt;=8,MOD(H1461,30)&gt;2.5),1,0)*VLOOKUP(D1461,'报价表-配送'!$B$32:$I$37,6,0)+IF(AND(MOD(H1461,30)&lt;=2.5,MOD(H1461,30)&gt;=1.5),1,0)*VLOOKUP(D1461,'报价表-配送'!$B$32:$I$37,5,0)</f>
        <v>0</v>
      </c>
      <c r="M1461" s="39">
        <f>IF(AND(MOD(H1461,30)&lt;1.5,MOD(H1461,30)&gt;=0.5),H1461,0)*VLOOKUP(D1461,'报价表-配送'!$B$32:$I$37,4,0)*1000+IF(AND(MOD(H1461,30)&lt;0.5,MOD(H1461,30)&gt;=0.02),H1461,0)*VLOOKUP(D1461,'报价表-配送'!$B$32:$I$37,3,0)*1000+IF(AND(MOD(H1461,30)&lt;0.02),H1461,0)*VLOOKUP(D1461,'报价表-配送'!$B$32:$I$37,2,0)*1000</f>
        <v>0</v>
      </c>
      <c r="N1461" s="38">
        <f t="shared" si="22"/>
        <v>0</v>
      </c>
    </row>
    <row r="1462" spans="1:14" x14ac:dyDescent="0.25">
      <c r="A1462" t="s">
        <v>81</v>
      </c>
      <c r="B1462" s="44" t="s">
        <v>158</v>
      </c>
      <c r="C1462" s="62">
        <f>VLOOKUP(B1462,合并仓明细!$D$2:$F$74,3,0)</f>
        <v>55</v>
      </c>
      <c r="D1462" t="s">
        <v>393</v>
      </c>
      <c r="E1462" s="43" t="s">
        <v>377</v>
      </c>
      <c r="F1462" t="s">
        <v>66</v>
      </c>
      <c r="G1462" s="42">
        <v>42</v>
      </c>
      <c r="H1462">
        <v>4.2000000000000003E-2</v>
      </c>
      <c r="K1462" s="1"/>
      <c r="L1462" s="37">
        <f>IF(H1462&gt;30,QUOTIENT(H1462,30)*VLOOKUP(D1462,'报价表-配送'!$B$32:$I$37,8,0),0)+IF(AND(MOD(H1462,30)&gt;18,MOD(H1462,30)&lt;=30),1,0)*VLOOKUP(D1462,'报价表-配送'!$B$32:$I$37,8,0)+IF(AND(MOD(H1462,30)&gt;8,MOD(H1462,30)&lt;=18),1*VLOOKUP(D1462,'报价表-配送'!$B$32:$I$37,7,0),0)+IF(AND(MOD(H1462,30)&lt;=8,MOD(H1462,30)&gt;2.5),1,0)*VLOOKUP(D1462,'报价表-配送'!$B$32:$I$37,6,0)+IF(AND(MOD(H1462,30)&lt;=2.5,MOD(H1462,30)&gt;=1.5),1,0)*VLOOKUP(D1462,'报价表-配送'!$B$32:$I$37,5,0)</f>
        <v>0</v>
      </c>
      <c r="M1462" s="39">
        <f>IF(AND(MOD(H1462,30)&lt;1.5,MOD(H1462,30)&gt;=0.5),H1462,0)*VLOOKUP(D1462,'报价表-配送'!$B$32:$I$37,4,0)*1000+IF(AND(MOD(H1462,30)&lt;0.5,MOD(H1462,30)&gt;=0.02),H1462,0)*VLOOKUP(D1462,'报价表-配送'!$B$32:$I$37,3,0)*1000+IF(AND(MOD(H1462,30)&lt;0.02),H1462,0)*VLOOKUP(D1462,'报价表-配送'!$B$32:$I$37,2,0)*1000</f>
        <v>0</v>
      </c>
      <c r="N1462" s="38">
        <f t="shared" si="22"/>
        <v>0</v>
      </c>
    </row>
    <row r="1463" spans="1:14" x14ac:dyDescent="0.25">
      <c r="A1463" t="s">
        <v>81</v>
      </c>
      <c r="B1463" s="44" t="s">
        <v>158</v>
      </c>
      <c r="C1463" s="62">
        <f>VLOOKUP(B1463,合并仓明细!$D$2:$F$74,3,0)</f>
        <v>55</v>
      </c>
      <c r="D1463" t="s">
        <v>393</v>
      </c>
      <c r="E1463" s="43" t="s">
        <v>301</v>
      </c>
      <c r="F1463" t="s">
        <v>66</v>
      </c>
      <c r="G1463" s="42">
        <v>32.83</v>
      </c>
      <c r="H1463">
        <v>3.2829999999999998E-2</v>
      </c>
      <c r="I1463" s="46"/>
      <c r="K1463" s="1"/>
      <c r="L1463" s="37">
        <f>IF(H1463&gt;30,QUOTIENT(H1463,30)*VLOOKUP(D1463,'报价表-配送'!$B$32:$I$37,8,0),0)+IF(AND(MOD(H1463,30)&gt;18,MOD(H1463,30)&lt;=30),1,0)*VLOOKUP(D1463,'报价表-配送'!$B$32:$I$37,8,0)+IF(AND(MOD(H1463,30)&gt;8,MOD(H1463,30)&lt;=18),1*VLOOKUP(D1463,'报价表-配送'!$B$32:$I$37,7,0),0)+IF(AND(MOD(H1463,30)&lt;=8,MOD(H1463,30)&gt;2.5),1,0)*VLOOKUP(D1463,'报价表-配送'!$B$32:$I$37,6,0)+IF(AND(MOD(H1463,30)&lt;=2.5,MOD(H1463,30)&gt;=1.5),1,0)*VLOOKUP(D1463,'报价表-配送'!$B$32:$I$37,5,0)</f>
        <v>0</v>
      </c>
      <c r="M1463" s="39">
        <f>IF(AND(MOD(H1463,30)&lt;1.5,MOD(H1463,30)&gt;=0.5),H1463,0)*VLOOKUP(D1463,'报价表-配送'!$B$32:$I$37,4,0)*1000+IF(AND(MOD(H1463,30)&lt;0.5,MOD(H1463,30)&gt;=0.02),H1463,0)*VLOOKUP(D1463,'报价表-配送'!$B$32:$I$37,3,0)*1000+IF(AND(MOD(H1463,30)&lt;0.02),H1463,0)*VLOOKUP(D1463,'报价表-配送'!$B$32:$I$37,2,0)*1000</f>
        <v>0</v>
      </c>
      <c r="N1463" s="38">
        <f t="shared" si="22"/>
        <v>0</v>
      </c>
    </row>
    <row r="1464" spans="1:14" x14ac:dyDescent="0.25">
      <c r="A1464" t="s">
        <v>81</v>
      </c>
      <c r="B1464" s="44" t="s">
        <v>158</v>
      </c>
      <c r="C1464" s="62">
        <f>VLOOKUP(B1464,合并仓明细!$D$2:$F$74,3,0)</f>
        <v>55</v>
      </c>
      <c r="D1464" t="s">
        <v>393</v>
      </c>
      <c r="E1464" s="43" t="s">
        <v>376</v>
      </c>
      <c r="F1464" t="s">
        <v>66</v>
      </c>
      <c r="G1464" s="42">
        <v>41.8</v>
      </c>
      <c r="H1464">
        <v>4.1799999999999997E-2</v>
      </c>
      <c r="K1464" s="1"/>
      <c r="L1464" s="37">
        <f>IF(H1464&gt;30,QUOTIENT(H1464,30)*VLOOKUP(D1464,'报价表-配送'!$B$32:$I$37,8,0),0)+IF(AND(MOD(H1464,30)&gt;18,MOD(H1464,30)&lt;=30),1,0)*VLOOKUP(D1464,'报价表-配送'!$B$32:$I$37,8,0)+IF(AND(MOD(H1464,30)&gt;8,MOD(H1464,30)&lt;=18),1*VLOOKUP(D1464,'报价表-配送'!$B$32:$I$37,7,0),0)+IF(AND(MOD(H1464,30)&lt;=8,MOD(H1464,30)&gt;2.5),1,0)*VLOOKUP(D1464,'报价表-配送'!$B$32:$I$37,6,0)+IF(AND(MOD(H1464,30)&lt;=2.5,MOD(H1464,30)&gt;=1.5),1,0)*VLOOKUP(D1464,'报价表-配送'!$B$32:$I$37,5,0)</f>
        <v>0</v>
      </c>
      <c r="M1464" s="39">
        <f>IF(AND(MOD(H1464,30)&lt;1.5,MOD(H1464,30)&gt;=0.5),H1464,0)*VLOOKUP(D1464,'报价表-配送'!$B$32:$I$37,4,0)*1000+IF(AND(MOD(H1464,30)&lt;0.5,MOD(H1464,30)&gt;=0.02),H1464,0)*VLOOKUP(D1464,'报价表-配送'!$B$32:$I$37,3,0)*1000+IF(AND(MOD(H1464,30)&lt;0.02),H1464,0)*VLOOKUP(D1464,'报价表-配送'!$B$32:$I$37,2,0)*1000</f>
        <v>0</v>
      </c>
      <c r="N1464" s="38">
        <f t="shared" si="22"/>
        <v>0</v>
      </c>
    </row>
    <row r="1465" spans="1:14" x14ac:dyDescent="0.25">
      <c r="A1465" t="s">
        <v>81</v>
      </c>
      <c r="B1465" s="44" t="s">
        <v>158</v>
      </c>
      <c r="C1465" s="62">
        <f>VLOOKUP(B1465,合并仓明细!$D$2:$F$74,3,0)</f>
        <v>55</v>
      </c>
      <c r="D1465" t="s">
        <v>393</v>
      </c>
      <c r="E1465" s="43" t="s">
        <v>356</v>
      </c>
      <c r="F1465" t="s">
        <v>66</v>
      </c>
      <c r="G1465" s="42">
        <v>9</v>
      </c>
      <c r="H1465">
        <v>8.9999999999999993E-3</v>
      </c>
      <c r="K1465" s="1"/>
      <c r="L1465" s="37">
        <f>IF(H1465&gt;30,QUOTIENT(H1465,30)*VLOOKUP(D1465,'报价表-配送'!$B$32:$I$37,8,0),0)+IF(AND(MOD(H1465,30)&gt;18,MOD(H1465,30)&lt;=30),1,0)*VLOOKUP(D1465,'报价表-配送'!$B$32:$I$37,8,0)+IF(AND(MOD(H1465,30)&gt;8,MOD(H1465,30)&lt;=18),1*VLOOKUP(D1465,'报价表-配送'!$B$32:$I$37,7,0),0)+IF(AND(MOD(H1465,30)&lt;=8,MOD(H1465,30)&gt;2.5),1,0)*VLOOKUP(D1465,'报价表-配送'!$B$32:$I$37,6,0)+IF(AND(MOD(H1465,30)&lt;=2.5,MOD(H1465,30)&gt;=1.5),1,0)*VLOOKUP(D1465,'报价表-配送'!$B$32:$I$37,5,0)</f>
        <v>0</v>
      </c>
      <c r="M1465" s="39">
        <f>IF(AND(MOD(H1465,30)&lt;1.5,MOD(H1465,30)&gt;=0.5),H1465,0)*VLOOKUP(D1465,'报价表-配送'!$B$32:$I$37,4,0)*1000+IF(AND(MOD(H1465,30)&lt;0.5,MOD(H1465,30)&gt;=0.02),H1465,0)*VLOOKUP(D1465,'报价表-配送'!$B$32:$I$37,3,0)*1000+IF(AND(MOD(H1465,30)&lt;0.02),H1465,0)*VLOOKUP(D1465,'报价表-配送'!$B$32:$I$37,2,0)*1000</f>
        <v>0</v>
      </c>
      <c r="N1465" s="38">
        <f t="shared" si="22"/>
        <v>0</v>
      </c>
    </row>
    <row r="1466" spans="1:14" x14ac:dyDescent="0.25">
      <c r="A1466" t="s">
        <v>81</v>
      </c>
      <c r="B1466" s="44" t="s">
        <v>158</v>
      </c>
      <c r="C1466" s="62">
        <f>VLOOKUP(B1466,合并仓明细!$D$2:$F$74,3,0)</f>
        <v>55</v>
      </c>
      <c r="D1466" t="s">
        <v>393</v>
      </c>
      <c r="E1466" s="43" t="s">
        <v>305</v>
      </c>
      <c r="F1466" t="s">
        <v>66</v>
      </c>
      <c r="G1466" s="42">
        <v>18.82</v>
      </c>
      <c r="H1466">
        <v>1.882E-2</v>
      </c>
      <c r="I1466" s="46"/>
      <c r="K1466" s="1"/>
      <c r="L1466" s="37">
        <f>IF(H1466&gt;30,QUOTIENT(H1466,30)*VLOOKUP(D1466,'报价表-配送'!$B$32:$I$37,8,0),0)+IF(AND(MOD(H1466,30)&gt;18,MOD(H1466,30)&lt;=30),1,0)*VLOOKUP(D1466,'报价表-配送'!$B$32:$I$37,8,0)+IF(AND(MOD(H1466,30)&gt;8,MOD(H1466,30)&lt;=18),1*VLOOKUP(D1466,'报价表-配送'!$B$32:$I$37,7,0),0)+IF(AND(MOD(H1466,30)&lt;=8,MOD(H1466,30)&gt;2.5),1,0)*VLOOKUP(D1466,'报价表-配送'!$B$32:$I$37,6,0)+IF(AND(MOD(H1466,30)&lt;=2.5,MOD(H1466,30)&gt;=1.5),1,0)*VLOOKUP(D1466,'报价表-配送'!$B$32:$I$37,5,0)</f>
        <v>0</v>
      </c>
      <c r="M1466" s="39">
        <f>IF(AND(MOD(H1466,30)&lt;1.5,MOD(H1466,30)&gt;=0.5),H1466,0)*VLOOKUP(D1466,'报价表-配送'!$B$32:$I$37,4,0)*1000+IF(AND(MOD(H1466,30)&lt;0.5,MOD(H1466,30)&gt;=0.02),H1466,0)*VLOOKUP(D1466,'报价表-配送'!$B$32:$I$37,3,0)*1000+IF(AND(MOD(H1466,30)&lt;0.02),H1466,0)*VLOOKUP(D1466,'报价表-配送'!$B$32:$I$37,2,0)*1000</f>
        <v>0</v>
      </c>
      <c r="N1466" s="38">
        <f t="shared" si="22"/>
        <v>0</v>
      </c>
    </row>
    <row r="1467" spans="1:14" x14ac:dyDescent="0.25">
      <c r="A1467" t="s">
        <v>81</v>
      </c>
      <c r="B1467" s="44" t="s">
        <v>159</v>
      </c>
      <c r="C1467" s="62">
        <f>VLOOKUP(B1467,合并仓明细!$D$2:$F$74,3,0)</f>
        <v>94</v>
      </c>
      <c r="D1467" t="s">
        <v>393</v>
      </c>
      <c r="E1467" s="43" t="s">
        <v>264</v>
      </c>
      <c r="F1467" t="s">
        <v>67</v>
      </c>
      <c r="G1467" s="42">
        <v>14341.689999999999</v>
      </c>
      <c r="H1467">
        <v>20.444019999999998</v>
      </c>
      <c r="I1467" s="38">
        <f>IF(H1467&gt;30,QUOTIENT(H1467,30)*VLOOKUP(D1467,'报价表-配送'!$B$32:$I$37,8,0),0)+IF(AND(MOD(H1467,30)&gt;18,MOD(H1467,30)&lt;=30),1,0)*VLOOKUP(D1467,'报价表-配送'!$B$32:$I$37,8,0)</f>
        <v>0</v>
      </c>
      <c r="J1467" s="38">
        <f>IF(AND(MOD(H1467,30)&gt;8,MOD(H1467,30)&lt;=18),1*VLOOKUP(D1467,'报价表-配送'!$B$32:$I$37,7,0),0)</f>
        <v>0</v>
      </c>
      <c r="K1467" s="38">
        <f>IF(AND(MOD(H1467,30)&lt;=8,MOD(H1467,30)&gt;0),1,0)*VLOOKUP(D1467,'报价表-配送'!$B$32:$I$37,6,0)</f>
        <v>0</v>
      </c>
      <c r="L1467" s="33"/>
      <c r="M1467" s="1"/>
      <c r="N1467" s="38">
        <f t="shared" si="22"/>
        <v>0</v>
      </c>
    </row>
    <row r="1468" spans="1:14" x14ac:dyDescent="0.25">
      <c r="A1468" t="s">
        <v>81</v>
      </c>
      <c r="B1468" s="44" t="s">
        <v>159</v>
      </c>
      <c r="C1468" s="62">
        <f>VLOOKUP(B1468,合并仓明细!$D$2:$F$74,3,0)</f>
        <v>94</v>
      </c>
      <c r="D1468" t="s">
        <v>393</v>
      </c>
      <c r="E1468" s="43" t="s">
        <v>264</v>
      </c>
      <c r="F1468" t="s">
        <v>66</v>
      </c>
      <c r="G1468" s="42">
        <v>6102.33</v>
      </c>
      <c r="H1468"/>
      <c r="I1468" s="46"/>
      <c r="K1468" s="1"/>
      <c r="L1468" s="33"/>
      <c r="M1468" s="1"/>
      <c r="N1468" s="38">
        <f t="shared" si="22"/>
        <v>0</v>
      </c>
    </row>
    <row r="1469" spans="1:14" x14ac:dyDescent="0.25">
      <c r="A1469" t="s">
        <v>81</v>
      </c>
      <c r="B1469" s="51" t="s">
        <v>159</v>
      </c>
      <c r="C1469" s="62">
        <f>VLOOKUP(B1469,合并仓明细!$D$2:$F$74,3,0)</f>
        <v>94</v>
      </c>
      <c r="D1469" t="s">
        <v>393</v>
      </c>
      <c r="E1469" s="43" t="s">
        <v>335</v>
      </c>
      <c r="F1469" t="s">
        <v>66</v>
      </c>
      <c r="G1469" s="42">
        <v>3396.31</v>
      </c>
      <c r="H1469">
        <v>3.3963100000000002</v>
      </c>
      <c r="K1469" s="1"/>
      <c r="L1469" s="37">
        <f>IF(H1469&gt;30,QUOTIENT(H1469,30)*VLOOKUP(D1469,'报价表-配送'!$B$32:$I$37,8,0),0)+IF(AND(MOD(H1469,30)&gt;18,MOD(H1469,30)&lt;=30),1,0)*VLOOKUP(D1469,'报价表-配送'!$B$32:$I$37,8,0)+IF(AND(MOD(H1469,30)&gt;8,MOD(H1469,30)&lt;=18),1*VLOOKUP(D1469,'报价表-配送'!$B$32:$I$37,7,0),0)+IF(AND(MOD(H1469,30)&lt;=8,MOD(H1469,30)&gt;2.5),1,0)*VLOOKUP(D1469,'报价表-配送'!$B$32:$I$37,6,0)+IF(AND(MOD(H1469,30)&lt;=2.5,MOD(H1469,30)&gt;=1.5),1,0)*VLOOKUP(D1469,'报价表-配送'!$B$32:$I$37,5,0)</f>
        <v>0</v>
      </c>
      <c r="M1469" s="39">
        <f>IF(AND(MOD(H1469,30)&lt;1.5,MOD(H1469,30)&gt;=0.5),H1469,0)*VLOOKUP(D1469,'报价表-配送'!$B$32:$I$37,4,0)*1000+IF(AND(MOD(H1469,30)&lt;0.5,MOD(H1469,30)&gt;=0.02),H1469,0)*VLOOKUP(D1469,'报价表-配送'!$B$32:$I$37,3,0)*1000+IF(AND(MOD(H1469,30)&lt;0.02),H1469,0)*VLOOKUP(D1469,'报价表-配送'!$B$32:$I$37,2,0)*1000</f>
        <v>0</v>
      </c>
      <c r="N1469" s="38">
        <f t="shared" si="22"/>
        <v>0</v>
      </c>
    </row>
    <row r="1470" spans="1:14" x14ac:dyDescent="0.25">
      <c r="A1470" t="s">
        <v>81</v>
      </c>
      <c r="B1470" s="44" t="s">
        <v>159</v>
      </c>
      <c r="C1470" s="62">
        <f>VLOOKUP(B1470,合并仓明细!$D$2:$F$74,3,0)</f>
        <v>94</v>
      </c>
      <c r="D1470" t="s">
        <v>393</v>
      </c>
      <c r="E1470" s="43" t="s">
        <v>259</v>
      </c>
      <c r="F1470" t="s">
        <v>66</v>
      </c>
      <c r="G1470" s="42">
        <v>4977</v>
      </c>
      <c r="H1470">
        <v>4.9770000000000003</v>
      </c>
      <c r="K1470" s="1"/>
      <c r="L1470" s="37">
        <f>IF(H1470&gt;30,QUOTIENT(H1470,30)*VLOOKUP(D1470,'报价表-配送'!$B$32:$I$37,8,0),0)+IF(AND(MOD(H1470,30)&gt;18,MOD(H1470,30)&lt;=30),1,0)*VLOOKUP(D1470,'报价表-配送'!$B$32:$I$37,8,0)+IF(AND(MOD(H1470,30)&gt;8,MOD(H1470,30)&lt;=18),1*VLOOKUP(D1470,'报价表-配送'!$B$32:$I$37,7,0),0)+IF(AND(MOD(H1470,30)&lt;=8,MOD(H1470,30)&gt;2.5),1,0)*VLOOKUP(D1470,'报价表-配送'!$B$32:$I$37,6,0)+IF(AND(MOD(H1470,30)&lt;=2.5,MOD(H1470,30)&gt;=1.5),1,0)*VLOOKUP(D1470,'报价表-配送'!$B$32:$I$37,5,0)</f>
        <v>0</v>
      </c>
      <c r="M1470" s="39">
        <f>IF(AND(MOD(H1470,30)&lt;1.5,MOD(H1470,30)&gt;=0.5),H1470,0)*VLOOKUP(D1470,'报价表-配送'!$B$32:$I$37,4,0)*1000+IF(AND(MOD(H1470,30)&lt;0.5,MOD(H1470,30)&gt;=0.02),H1470,0)*VLOOKUP(D1470,'报价表-配送'!$B$32:$I$37,3,0)*1000+IF(AND(MOD(H1470,30)&lt;0.02),H1470,0)*VLOOKUP(D1470,'报价表-配送'!$B$32:$I$37,2,0)*1000</f>
        <v>0</v>
      </c>
      <c r="N1470" s="38">
        <f t="shared" si="22"/>
        <v>0</v>
      </c>
    </row>
    <row r="1471" spans="1:14" x14ac:dyDescent="0.25">
      <c r="A1471" t="s">
        <v>81</v>
      </c>
      <c r="B1471" s="44" t="s">
        <v>159</v>
      </c>
      <c r="C1471" s="62">
        <f>VLOOKUP(B1471,合并仓明细!$D$2:$F$74,3,0)</f>
        <v>94</v>
      </c>
      <c r="D1471" t="s">
        <v>393</v>
      </c>
      <c r="E1471" s="43" t="s">
        <v>361</v>
      </c>
      <c r="F1471" t="s">
        <v>66</v>
      </c>
      <c r="G1471" s="42">
        <v>24.3</v>
      </c>
      <c r="H1471">
        <v>2.4300000000000002E-2</v>
      </c>
      <c r="K1471" s="1"/>
      <c r="L1471" s="37">
        <f>IF(H1471&gt;30,QUOTIENT(H1471,30)*VLOOKUP(D1471,'报价表-配送'!$B$32:$I$37,8,0),0)+IF(AND(MOD(H1471,30)&gt;18,MOD(H1471,30)&lt;=30),1,0)*VLOOKUP(D1471,'报价表-配送'!$B$32:$I$37,8,0)+IF(AND(MOD(H1471,30)&gt;8,MOD(H1471,30)&lt;=18),1*VLOOKUP(D1471,'报价表-配送'!$B$32:$I$37,7,0),0)+IF(AND(MOD(H1471,30)&lt;=8,MOD(H1471,30)&gt;2.5),1,0)*VLOOKUP(D1471,'报价表-配送'!$B$32:$I$37,6,0)+IF(AND(MOD(H1471,30)&lt;=2.5,MOD(H1471,30)&gt;=1.5),1,0)*VLOOKUP(D1471,'报价表-配送'!$B$32:$I$37,5,0)</f>
        <v>0</v>
      </c>
      <c r="M1471" s="39">
        <f>IF(AND(MOD(H1471,30)&lt;1.5,MOD(H1471,30)&gt;=0.5),H1471,0)*VLOOKUP(D1471,'报价表-配送'!$B$32:$I$37,4,0)*1000+IF(AND(MOD(H1471,30)&lt;0.5,MOD(H1471,30)&gt;=0.02),H1471,0)*VLOOKUP(D1471,'报价表-配送'!$B$32:$I$37,3,0)*1000+IF(AND(MOD(H1471,30)&lt;0.02),H1471,0)*VLOOKUP(D1471,'报价表-配送'!$B$32:$I$37,2,0)*1000</f>
        <v>0</v>
      </c>
      <c r="N1471" s="38">
        <f t="shared" si="22"/>
        <v>0</v>
      </c>
    </row>
    <row r="1472" spans="1:14" x14ac:dyDescent="0.25">
      <c r="A1472" t="s">
        <v>81</v>
      </c>
      <c r="B1472" s="44" t="s">
        <v>159</v>
      </c>
      <c r="C1472" s="62">
        <f>VLOOKUP(B1472,合并仓明细!$D$2:$F$74,3,0)</f>
        <v>94</v>
      </c>
      <c r="D1472" t="s">
        <v>393</v>
      </c>
      <c r="E1472" s="43" t="s">
        <v>371</v>
      </c>
      <c r="F1472" t="s">
        <v>66</v>
      </c>
      <c r="G1472" s="42">
        <v>19.559999999999999</v>
      </c>
      <c r="H1472">
        <v>1.9559999999999998E-2</v>
      </c>
      <c r="K1472" s="1"/>
      <c r="L1472" s="37">
        <f>IF(H1472&gt;30,QUOTIENT(H1472,30)*VLOOKUP(D1472,'报价表-配送'!$B$32:$I$37,8,0),0)+IF(AND(MOD(H1472,30)&gt;18,MOD(H1472,30)&lt;=30),1,0)*VLOOKUP(D1472,'报价表-配送'!$B$32:$I$37,8,0)+IF(AND(MOD(H1472,30)&gt;8,MOD(H1472,30)&lt;=18),1*VLOOKUP(D1472,'报价表-配送'!$B$32:$I$37,7,0),0)+IF(AND(MOD(H1472,30)&lt;=8,MOD(H1472,30)&gt;2.5),1,0)*VLOOKUP(D1472,'报价表-配送'!$B$32:$I$37,6,0)+IF(AND(MOD(H1472,30)&lt;=2.5,MOD(H1472,30)&gt;=1.5),1,0)*VLOOKUP(D1472,'报价表-配送'!$B$32:$I$37,5,0)</f>
        <v>0</v>
      </c>
      <c r="M1472" s="39">
        <f>IF(AND(MOD(H1472,30)&lt;1.5,MOD(H1472,30)&gt;=0.5),H1472,0)*VLOOKUP(D1472,'报价表-配送'!$B$32:$I$37,4,0)*1000+IF(AND(MOD(H1472,30)&lt;0.5,MOD(H1472,30)&gt;=0.02),H1472,0)*VLOOKUP(D1472,'报价表-配送'!$B$32:$I$37,3,0)*1000+IF(AND(MOD(H1472,30)&lt;0.02),H1472,0)*VLOOKUP(D1472,'报价表-配送'!$B$32:$I$37,2,0)*1000</f>
        <v>0</v>
      </c>
      <c r="N1472" s="38">
        <f t="shared" si="22"/>
        <v>0</v>
      </c>
    </row>
    <row r="1473" spans="1:14" x14ac:dyDescent="0.25">
      <c r="A1473" t="s">
        <v>81</v>
      </c>
      <c r="B1473" s="44" t="s">
        <v>159</v>
      </c>
      <c r="C1473" s="62">
        <f>VLOOKUP(B1473,合并仓明细!$D$2:$F$74,3,0)</f>
        <v>94</v>
      </c>
      <c r="D1473" t="s">
        <v>393</v>
      </c>
      <c r="E1473" s="43" t="s">
        <v>282</v>
      </c>
      <c r="F1473" t="s">
        <v>66</v>
      </c>
      <c r="G1473" s="42">
        <v>2.5499999999999998</v>
      </c>
      <c r="H1473">
        <v>2.5499999999999997E-3</v>
      </c>
      <c r="K1473" s="1"/>
      <c r="L1473" s="37">
        <f>IF(H1473&gt;30,QUOTIENT(H1473,30)*VLOOKUP(D1473,'报价表-配送'!$B$32:$I$37,8,0),0)+IF(AND(MOD(H1473,30)&gt;18,MOD(H1473,30)&lt;=30),1,0)*VLOOKUP(D1473,'报价表-配送'!$B$32:$I$37,8,0)+IF(AND(MOD(H1473,30)&gt;8,MOD(H1473,30)&lt;=18),1*VLOOKUP(D1473,'报价表-配送'!$B$32:$I$37,7,0),0)+IF(AND(MOD(H1473,30)&lt;=8,MOD(H1473,30)&gt;2.5),1,0)*VLOOKUP(D1473,'报价表-配送'!$B$32:$I$37,6,0)+IF(AND(MOD(H1473,30)&lt;=2.5,MOD(H1473,30)&gt;=1.5),1,0)*VLOOKUP(D1473,'报价表-配送'!$B$32:$I$37,5,0)</f>
        <v>0</v>
      </c>
      <c r="M1473" s="39">
        <f>IF(AND(MOD(H1473,30)&lt;1.5,MOD(H1473,30)&gt;=0.5),H1473,0)*VLOOKUP(D1473,'报价表-配送'!$B$32:$I$37,4,0)*1000+IF(AND(MOD(H1473,30)&lt;0.5,MOD(H1473,30)&gt;=0.02),H1473,0)*VLOOKUP(D1473,'报价表-配送'!$B$32:$I$37,3,0)*1000+IF(AND(MOD(H1473,30)&lt;0.02),H1473,0)*VLOOKUP(D1473,'报价表-配送'!$B$32:$I$37,2,0)*1000</f>
        <v>0</v>
      </c>
      <c r="N1473" s="38">
        <f t="shared" si="22"/>
        <v>0</v>
      </c>
    </row>
    <row r="1474" spans="1:14" x14ac:dyDescent="0.25">
      <c r="A1474" t="s">
        <v>81</v>
      </c>
      <c r="B1474" s="44" t="s">
        <v>159</v>
      </c>
      <c r="C1474" s="62">
        <f>VLOOKUP(B1474,合并仓明细!$D$2:$F$74,3,0)</f>
        <v>94</v>
      </c>
      <c r="D1474" t="s">
        <v>393</v>
      </c>
      <c r="E1474" s="43" t="s">
        <v>283</v>
      </c>
      <c r="F1474" t="s">
        <v>67</v>
      </c>
      <c r="G1474" s="42">
        <v>16928.14</v>
      </c>
      <c r="H1474">
        <v>17.717860000000002</v>
      </c>
      <c r="I1474" s="38">
        <f>IF(H1474&gt;30,QUOTIENT(H1474,30)*VLOOKUP(D1474,'报价表-配送'!$B$32:$I$37,8,0),0)+IF(AND(MOD(H1474,30)&gt;18,MOD(H1474,30)&lt;=30),1,0)*VLOOKUP(D1474,'报价表-配送'!$B$32:$I$37,8,0)</f>
        <v>0</v>
      </c>
      <c r="J1474" s="38">
        <f>IF(AND(MOD(H1474,30)&gt;8,MOD(H1474,30)&lt;=18),1*VLOOKUP(D1474,'报价表-配送'!$B$32:$I$37,7,0),0)</f>
        <v>0</v>
      </c>
      <c r="K1474" s="38">
        <f>IF(AND(MOD(H1474,30)&lt;=8,MOD(H1474,30)&gt;0),1,0)*VLOOKUP(D1474,'报价表-配送'!$B$32:$I$37,6,0)</f>
        <v>0</v>
      </c>
      <c r="L1474" s="33"/>
      <c r="M1474" s="1"/>
      <c r="N1474" s="38">
        <f t="shared" si="22"/>
        <v>0</v>
      </c>
    </row>
    <row r="1475" spans="1:14" x14ac:dyDescent="0.25">
      <c r="A1475" t="s">
        <v>81</v>
      </c>
      <c r="B1475" s="44" t="s">
        <v>159</v>
      </c>
      <c r="C1475" s="62">
        <f>VLOOKUP(B1475,合并仓明细!$D$2:$F$74,3,0)</f>
        <v>94</v>
      </c>
      <c r="D1475" t="s">
        <v>393</v>
      </c>
      <c r="E1475" s="43" t="s">
        <v>283</v>
      </c>
      <c r="F1475" t="s">
        <v>66</v>
      </c>
      <c r="G1475" s="42">
        <v>789.72</v>
      </c>
      <c r="H1475"/>
      <c r="K1475" s="1"/>
      <c r="L1475" s="33"/>
      <c r="M1475" s="1"/>
      <c r="N1475" s="38">
        <f t="shared" si="22"/>
        <v>0</v>
      </c>
    </row>
    <row r="1476" spans="1:14" x14ac:dyDescent="0.25">
      <c r="A1476" t="s">
        <v>81</v>
      </c>
      <c r="B1476" s="44" t="s">
        <v>159</v>
      </c>
      <c r="C1476" s="62">
        <f>VLOOKUP(B1476,合并仓明细!$D$2:$F$74,3,0)</f>
        <v>94</v>
      </c>
      <c r="D1476" t="s">
        <v>393</v>
      </c>
      <c r="E1476" s="43" t="s">
        <v>284</v>
      </c>
      <c r="F1476" t="s">
        <v>66</v>
      </c>
      <c r="G1476" s="42">
        <v>40.1</v>
      </c>
      <c r="H1476">
        <v>4.0100000000000004E-2</v>
      </c>
      <c r="K1476" s="1"/>
      <c r="L1476" s="37">
        <f>IF(H1476&gt;30,QUOTIENT(H1476,30)*VLOOKUP(D1476,'报价表-配送'!$B$32:$I$37,8,0),0)+IF(AND(MOD(H1476,30)&gt;18,MOD(H1476,30)&lt;=30),1,0)*VLOOKUP(D1476,'报价表-配送'!$B$32:$I$37,8,0)+IF(AND(MOD(H1476,30)&gt;8,MOD(H1476,30)&lt;=18),1*VLOOKUP(D1476,'报价表-配送'!$B$32:$I$37,7,0),0)+IF(AND(MOD(H1476,30)&lt;=8,MOD(H1476,30)&gt;2.5),1,0)*VLOOKUP(D1476,'报价表-配送'!$B$32:$I$37,6,0)+IF(AND(MOD(H1476,30)&lt;=2.5,MOD(H1476,30)&gt;=1.5),1,0)*VLOOKUP(D1476,'报价表-配送'!$B$32:$I$37,5,0)</f>
        <v>0</v>
      </c>
      <c r="M1476" s="39">
        <f>IF(AND(MOD(H1476,30)&lt;1.5,MOD(H1476,30)&gt;=0.5),H1476,0)*VLOOKUP(D1476,'报价表-配送'!$B$32:$I$37,4,0)*1000+IF(AND(MOD(H1476,30)&lt;0.5,MOD(H1476,30)&gt;=0.02),H1476,0)*VLOOKUP(D1476,'报价表-配送'!$B$32:$I$37,3,0)*1000+IF(AND(MOD(H1476,30)&lt;0.02),H1476,0)*VLOOKUP(D1476,'报价表-配送'!$B$32:$I$37,2,0)*1000</f>
        <v>0</v>
      </c>
      <c r="N1476" s="38">
        <f t="shared" si="22"/>
        <v>0</v>
      </c>
    </row>
    <row r="1477" spans="1:14" x14ac:dyDescent="0.25">
      <c r="A1477" t="s">
        <v>81</v>
      </c>
      <c r="B1477" s="44" t="s">
        <v>159</v>
      </c>
      <c r="C1477" s="62">
        <f>VLOOKUP(B1477,合并仓明细!$D$2:$F$74,3,0)</f>
        <v>94</v>
      </c>
      <c r="D1477" t="s">
        <v>393</v>
      </c>
      <c r="E1477" s="43" t="s">
        <v>285</v>
      </c>
      <c r="F1477" t="s">
        <v>66</v>
      </c>
      <c r="G1477" s="42">
        <v>3872.8</v>
      </c>
      <c r="H1477">
        <v>3.8728000000000002</v>
      </c>
      <c r="K1477" s="1"/>
      <c r="L1477" s="37">
        <f>IF(H1477&gt;30,QUOTIENT(H1477,30)*VLOOKUP(D1477,'报价表-配送'!$B$32:$I$37,8,0),0)+IF(AND(MOD(H1477,30)&gt;18,MOD(H1477,30)&lt;=30),1,0)*VLOOKUP(D1477,'报价表-配送'!$B$32:$I$37,8,0)+IF(AND(MOD(H1477,30)&gt;8,MOD(H1477,30)&lt;=18),1*VLOOKUP(D1477,'报价表-配送'!$B$32:$I$37,7,0),0)+IF(AND(MOD(H1477,30)&lt;=8,MOD(H1477,30)&gt;2.5),1,0)*VLOOKUP(D1477,'报价表-配送'!$B$32:$I$37,6,0)+IF(AND(MOD(H1477,30)&lt;=2.5,MOD(H1477,30)&gt;=1.5),1,0)*VLOOKUP(D1477,'报价表-配送'!$B$32:$I$37,5,0)</f>
        <v>0</v>
      </c>
      <c r="M1477" s="39">
        <f>IF(AND(MOD(H1477,30)&lt;1.5,MOD(H1477,30)&gt;=0.5),H1477,0)*VLOOKUP(D1477,'报价表-配送'!$B$32:$I$37,4,0)*1000+IF(AND(MOD(H1477,30)&lt;0.5,MOD(H1477,30)&gt;=0.02),H1477,0)*VLOOKUP(D1477,'报价表-配送'!$B$32:$I$37,3,0)*1000+IF(AND(MOD(H1477,30)&lt;0.02),H1477,0)*VLOOKUP(D1477,'报价表-配送'!$B$32:$I$37,2,0)*1000</f>
        <v>0</v>
      </c>
      <c r="N1477" s="38">
        <f t="shared" si="22"/>
        <v>0</v>
      </c>
    </row>
    <row r="1478" spans="1:14" x14ac:dyDescent="0.25">
      <c r="A1478" t="s">
        <v>81</v>
      </c>
      <c r="B1478" s="44" t="s">
        <v>159</v>
      </c>
      <c r="C1478" s="62">
        <f>VLOOKUP(B1478,合并仓明细!$D$2:$F$74,3,0)</f>
        <v>94</v>
      </c>
      <c r="D1478" t="s">
        <v>393</v>
      </c>
      <c r="E1478" s="43" t="s">
        <v>348</v>
      </c>
      <c r="F1478" t="s">
        <v>66</v>
      </c>
      <c r="G1478" s="42">
        <v>2.86</v>
      </c>
      <c r="H1478">
        <v>2.8599999999999997E-3</v>
      </c>
      <c r="K1478" s="1"/>
      <c r="L1478" s="37">
        <f>IF(H1478&gt;30,QUOTIENT(H1478,30)*VLOOKUP(D1478,'报价表-配送'!$B$32:$I$37,8,0),0)+IF(AND(MOD(H1478,30)&gt;18,MOD(H1478,30)&lt;=30),1,0)*VLOOKUP(D1478,'报价表-配送'!$B$32:$I$37,8,0)+IF(AND(MOD(H1478,30)&gt;8,MOD(H1478,30)&lt;=18),1*VLOOKUP(D1478,'报价表-配送'!$B$32:$I$37,7,0),0)+IF(AND(MOD(H1478,30)&lt;=8,MOD(H1478,30)&gt;2.5),1,0)*VLOOKUP(D1478,'报价表-配送'!$B$32:$I$37,6,0)+IF(AND(MOD(H1478,30)&lt;=2.5,MOD(H1478,30)&gt;=1.5),1,0)*VLOOKUP(D1478,'报价表-配送'!$B$32:$I$37,5,0)</f>
        <v>0</v>
      </c>
      <c r="M1478" s="39">
        <f>IF(AND(MOD(H1478,30)&lt;1.5,MOD(H1478,30)&gt;=0.5),H1478,0)*VLOOKUP(D1478,'报价表-配送'!$B$32:$I$37,4,0)*1000+IF(AND(MOD(H1478,30)&lt;0.5,MOD(H1478,30)&gt;=0.02),H1478,0)*VLOOKUP(D1478,'报价表-配送'!$B$32:$I$37,3,0)*1000+IF(AND(MOD(H1478,30)&lt;0.02),H1478,0)*VLOOKUP(D1478,'报价表-配送'!$B$32:$I$37,2,0)*1000</f>
        <v>0</v>
      </c>
      <c r="N1478" s="38">
        <f t="shared" si="22"/>
        <v>0</v>
      </c>
    </row>
    <row r="1479" spans="1:14" x14ac:dyDescent="0.25">
      <c r="A1479" t="s">
        <v>81</v>
      </c>
      <c r="B1479" s="44" t="s">
        <v>159</v>
      </c>
      <c r="C1479" s="62">
        <f>VLOOKUP(B1479,合并仓明细!$D$2:$F$74,3,0)</f>
        <v>94</v>
      </c>
      <c r="D1479" t="s">
        <v>393</v>
      </c>
      <c r="E1479" s="43" t="s">
        <v>287</v>
      </c>
      <c r="F1479" t="s">
        <v>66</v>
      </c>
      <c r="G1479" s="42">
        <v>2455</v>
      </c>
      <c r="H1479">
        <v>2.4550000000000001</v>
      </c>
      <c r="K1479" s="1"/>
      <c r="L1479" s="37">
        <f>IF(H1479&gt;30,QUOTIENT(H1479,30)*VLOOKUP(D1479,'报价表-配送'!$B$32:$I$37,8,0),0)+IF(AND(MOD(H1479,30)&gt;18,MOD(H1479,30)&lt;=30),1,0)*VLOOKUP(D1479,'报价表-配送'!$B$32:$I$37,8,0)+IF(AND(MOD(H1479,30)&gt;8,MOD(H1479,30)&lt;=18),1*VLOOKUP(D1479,'报价表-配送'!$B$32:$I$37,7,0),0)+IF(AND(MOD(H1479,30)&lt;=8,MOD(H1479,30)&gt;2.5),1,0)*VLOOKUP(D1479,'报价表-配送'!$B$32:$I$37,6,0)+IF(AND(MOD(H1479,30)&lt;=2.5,MOD(H1479,30)&gt;=1.5),1,0)*VLOOKUP(D1479,'报价表-配送'!$B$32:$I$37,5,0)</f>
        <v>0</v>
      </c>
      <c r="M1479" s="39">
        <f>IF(AND(MOD(H1479,30)&lt;1.5,MOD(H1479,30)&gt;=0.5),H1479,0)*VLOOKUP(D1479,'报价表-配送'!$B$32:$I$37,4,0)*1000+IF(AND(MOD(H1479,30)&lt;0.5,MOD(H1479,30)&gt;=0.02),H1479,0)*VLOOKUP(D1479,'报价表-配送'!$B$32:$I$37,3,0)*1000+IF(AND(MOD(H1479,30)&lt;0.02),H1479,0)*VLOOKUP(D1479,'报价表-配送'!$B$32:$I$37,2,0)*1000</f>
        <v>0</v>
      </c>
      <c r="N1479" s="38">
        <f t="shared" si="22"/>
        <v>0</v>
      </c>
    </row>
    <row r="1480" spans="1:14" x14ac:dyDescent="0.25">
      <c r="A1480" t="s">
        <v>81</v>
      </c>
      <c r="B1480" s="44" t="s">
        <v>159</v>
      </c>
      <c r="C1480" s="62">
        <f>VLOOKUP(B1480,合并仓明细!$D$2:$F$74,3,0)</f>
        <v>94</v>
      </c>
      <c r="D1480" t="s">
        <v>393</v>
      </c>
      <c r="E1480" s="43" t="s">
        <v>293</v>
      </c>
      <c r="F1480" t="s">
        <v>66</v>
      </c>
      <c r="G1480" s="42">
        <v>2.62</v>
      </c>
      <c r="H1480">
        <v>2.6199999999999999E-3</v>
      </c>
      <c r="K1480" s="1"/>
      <c r="L1480" s="37">
        <f>IF(H1480&gt;30,QUOTIENT(H1480,30)*VLOOKUP(D1480,'报价表-配送'!$B$32:$I$37,8,0),0)+IF(AND(MOD(H1480,30)&gt;18,MOD(H1480,30)&lt;=30),1,0)*VLOOKUP(D1480,'报价表-配送'!$B$32:$I$37,8,0)+IF(AND(MOD(H1480,30)&gt;8,MOD(H1480,30)&lt;=18),1*VLOOKUP(D1480,'报价表-配送'!$B$32:$I$37,7,0),0)+IF(AND(MOD(H1480,30)&lt;=8,MOD(H1480,30)&gt;2.5),1,0)*VLOOKUP(D1480,'报价表-配送'!$B$32:$I$37,6,0)+IF(AND(MOD(H1480,30)&lt;=2.5,MOD(H1480,30)&gt;=1.5),1,0)*VLOOKUP(D1480,'报价表-配送'!$B$32:$I$37,5,0)</f>
        <v>0</v>
      </c>
      <c r="M1480" s="39">
        <f>IF(AND(MOD(H1480,30)&lt;1.5,MOD(H1480,30)&gt;=0.5),H1480,0)*VLOOKUP(D1480,'报价表-配送'!$B$32:$I$37,4,0)*1000+IF(AND(MOD(H1480,30)&lt;0.5,MOD(H1480,30)&gt;=0.02),H1480,0)*VLOOKUP(D1480,'报价表-配送'!$B$32:$I$37,3,0)*1000+IF(AND(MOD(H1480,30)&lt;0.02),H1480,0)*VLOOKUP(D1480,'报价表-配送'!$B$32:$I$37,2,0)*1000</f>
        <v>0</v>
      </c>
      <c r="N1480" s="38">
        <f t="shared" si="22"/>
        <v>0</v>
      </c>
    </row>
    <row r="1481" spans="1:14" x14ac:dyDescent="0.25">
      <c r="A1481" t="s">
        <v>81</v>
      </c>
      <c r="B1481" s="44" t="s">
        <v>159</v>
      </c>
      <c r="C1481" s="62">
        <f>VLOOKUP(B1481,合并仓明细!$D$2:$F$74,3,0)</f>
        <v>94</v>
      </c>
      <c r="D1481" t="s">
        <v>393</v>
      </c>
      <c r="E1481" s="43" t="s">
        <v>342</v>
      </c>
      <c r="F1481" t="s">
        <v>66</v>
      </c>
      <c r="G1481" s="42">
        <v>1937.5099999999998</v>
      </c>
      <c r="H1481">
        <v>1.9375099999999998</v>
      </c>
      <c r="K1481" s="1"/>
      <c r="L1481" s="37">
        <f>IF(H1481&gt;30,QUOTIENT(H1481,30)*VLOOKUP(D1481,'报价表-配送'!$B$32:$I$37,8,0),0)+IF(AND(MOD(H1481,30)&gt;18,MOD(H1481,30)&lt;=30),1,0)*VLOOKUP(D1481,'报价表-配送'!$B$32:$I$37,8,0)+IF(AND(MOD(H1481,30)&gt;8,MOD(H1481,30)&lt;=18),1*VLOOKUP(D1481,'报价表-配送'!$B$32:$I$37,7,0),0)+IF(AND(MOD(H1481,30)&lt;=8,MOD(H1481,30)&gt;2.5),1,0)*VLOOKUP(D1481,'报价表-配送'!$B$32:$I$37,6,0)+IF(AND(MOD(H1481,30)&lt;=2.5,MOD(H1481,30)&gt;=1.5),1,0)*VLOOKUP(D1481,'报价表-配送'!$B$32:$I$37,5,0)</f>
        <v>0</v>
      </c>
      <c r="M1481" s="39">
        <f>IF(AND(MOD(H1481,30)&lt;1.5,MOD(H1481,30)&gt;=0.5),H1481,0)*VLOOKUP(D1481,'报价表-配送'!$B$32:$I$37,4,0)*1000+IF(AND(MOD(H1481,30)&lt;0.5,MOD(H1481,30)&gt;=0.02),H1481,0)*VLOOKUP(D1481,'报价表-配送'!$B$32:$I$37,3,0)*1000+IF(AND(MOD(H1481,30)&lt;0.02),H1481,0)*VLOOKUP(D1481,'报价表-配送'!$B$32:$I$37,2,0)*1000</f>
        <v>0</v>
      </c>
      <c r="N1481" s="38">
        <f t="shared" si="22"/>
        <v>0</v>
      </c>
    </row>
    <row r="1482" spans="1:14" x14ac:dyDescent="0.25">
      <c r="A1482" t="s">
        <v>81</v>
      </c>
      <c r="B1482" s="44" t="s">
        <v>159</v>
      </c>
      <c r="C1482" s="62">
        <f>VLOOKUP(B1482,合并仓明细!$D$2:$F$74,3,0)</f>
        <v>94</v>
      </c>
      <c r="D1482" t="s">
        <v>393</v>
      </c>
      <c r="E1482" s="43" t="s">
        <v>318</v>
      </c>
      <c r="F1482" t="s">
        <v>67</v>
      </c>
      <c r="G1482" s="42">
        <v>5461.84</v>
      </c>
      <c r="H1482">
        <v>6.9958400000000003</v>
      </c>
      <c r="I1482" s="38">
        <f>IF(H1482&gt;30,QUOTIENT(H1482,30)*VLOOKUP(D1482,'报价表-配送'!$B$32:$I$37,8,0),0)+IF(AND(MOD(H1482,30)&gt;18,MOD(H1482,30)&lt;=30),1,0)*VLOOKUP(D1482,'报价表-配送'!$B$32:$I$37,8,0)</f>
        <v>0</v>
      </c>
      <c r="J1482" s="38">
        <f>IF(AND(MOD(H1482,30)&gt;8,MOD(H1482,30)&lt;=18),1*VLOOKUP(D1482,'报价表-配送'!$B$32:$I$37,7,0),0)</f>
        <v>0</v>
      </c>
      <c r="K1482" s="38">
        <f>IF(AND(MOD(H1482,30)&lt;=8,MOD(H1482,30)&gt;0),1,0)*VLOOKUP(D1482,'报价表-配送'!$B$32:$I$37,6,0)</f>
        <v>0</v>
      </c>
      <c r="L1482" s="33"/>
      <c r="M1482" s="1"/>
      <c r="N1482" s="38">
        <f t="shared" si="22"/>
        <v>0</v>
      </c>
    </row>
    <row r="1483" spans="1:14" x14ac:dyDescent="0.25">
      <c r="A1483" t="s">
        <v>81</v>
      </c>
      <c r="B1483" s="44" t="s">
        <v>159</v>
      </c>
      <c r="C1483" s="62">
        <f>VLOOKUP(B1483,合并仓明细!$D$2:$F$74,3,0)</f>
        <v>94</v>
      </c>
      <c r="D1483" t="s">
        <v>393</v>
      </c>
      <c r="E1483" s="43" t="s">
        <v>318</v>
      </c>
      <c r="F1483" t="s">
        <v>66</v>
      </c>
      <c r="G1483" s="42">
        <v>1534</v>
      </c>
      <c r="H1483"/>
      <c r="K1483" s="1"/>
      <c r="L1483" s="33"/>
      <c r="M1483" s="1"/>
      <c r="N1483" s="38">
        <f t="shared" si="22"/>
        <v>0</v>
      </c>
    </row>
    <row r="1484" spans="1:14" x14ac:dyDescent="0.25">
      <c r="A1484" t="s">
        <v>81</v>
      </c>
      <c r="B1484" s="44" t="s">
        <v>159</v>
      </c>
      <c r="C1484" s="62">
        <f>VLOOKUP(B1484,合并仓明细!$D$2:$F$74,3,0)</f>
        <v>94</v>
      </c>
      <c r="D1484" t="s">
        <v>393</v>
      </c>
      <c r="E1484" s="43" t="s">
        <v>327</v>
      </c>
      <c r="F1484" t="s">
        <v>67</v>
      </c>
      <c r="G1484" s="42">
        <v>5006.46</v>
      </c>
      <c r="H1484">
        <v>8.0493700000000015</v>
      </c>
      <c r="I1484" s="38">
        <f>IF(H1484&gt;30,QUOTIENT(H1484,30)*VLOOKUP(D1484,'报价表-配送'!$B$32:$I$37,8,0),0)+IF(AND(MOD(H1484,30)&gt;18,MOD(H1484,30)&lt;=30),1,0)*VLOOKUP(D1484,'报价表-配送'!$B$32:$I$37,8,0)</f>
        <v>0</v>
      </c>
      <c r="J1484" s="38">
        <f>IF(AND(MOD(H1484,30)&gt;8,MOD(H1484,30)&lt;=18),1*VLOOKUP(D1484,'报价表-配送'!$B$32:$I$37,7,0),0)</f>
        <v>0</v>
      </c>
      <c r="K1484" s="38">
        <f>IF(AND(MOD(H1484,30)&lt;=8,MOD(H1484,30)&gt;0),1,0)*VLOOKUP(D1484,'报价表-配送'!$B$32:$I$37,6,0)</f>
        <v>0</v>
      </c>
      <c r="L1484" s="33"/>
      <c r="M1484" s="1"/>
      <c r="N1484" s="38">
        <f t="shared" si="22"/>
        <v>0</v>
      </c>
    </row>
    <row r="1485" spans="1:14" x14ac:dyDescent="0.25">
      <c r="A1485" t="s">
        <v>81</v>
      </c>
      <c r="B1485" s="44" t="s">
        <v>159</v>
      </c>
      <c r="C1485" s="62">
        <f>VLOOKUP(B1485,合并仓明细!$D$2:$F$74,3,0)</f>
        <v>94</v>
      </c>
      <c r="D1485" t="s">
        <v>393</v>
      </c>
      <c r="E1485" s="43" t="s">
        <v>327</v>
      </c>
      <c r="F1485" t="s">
        <v>66</v>
      </c>
      <c r="G1485" s="42">
        <v>3042.9100000000003</v>
      </c>
      <c r="H1485"/>
      <c r="K1485" s="1"/>
      <c r="L1485" s="33"/>
      <c r="M1485" s="1"/>
      <c r="N1485" s="38">
        <f t="shared" si="22"/>
        <v>0</v>
      </c>
    </row>
    <row r="1486" spans="1:14" x14ac:dyDescent="0.25">
      <c r="A1486" t="s">
        <v>81</v>
      </c>
      <c r="B1486" s="44" t="s">
        <v>159</v>
      </c>
      <c r="C1486" s="62">
        <f>VLOOKUP(B1486,合并仓明细!$D$2:$F$74,3,0)</f>
        <v>94</v>
      </c>
      <c r="D1486" t="s">
        <v>393</v>
      </c>
      <c r="E1486" s="43" t="s">
        <v>320</v>
      </c>
      <c r="F1486" t="s">
        <v>67</v>
      </c>
      <c r="G1486" s="42">
        <v>10969.380000000001</v>
      </c>
      <c r="H1486">
        <v>11.061390000000001</v>
      </c>
      <c r="I1486" s="38">
        <f>IF(H1486&gt;30,QUOTIENT(H1486,30)*VLOOKUP(D1486,'报价表-配送'!$B$32:$I$37,8,0),0)+IF(AND(MOD(H1486,30)&gt;18,MOD(H1486,30)&lt;=30),1,0)*VLOOKUP(D1486,'报价表-配送'!$B$32:$I$37,8,0)</f>
        <v>0</v>
      </c>
      <c r="J1486" s="38">
        <f>IF(AND(MOD(H1486,30)&gt;8,MOD(H1486,30)&lt;=18),1*VLOOKUP(D1486,'报价表-配送'!$B$32:$I$37,7,0),0)</f>
        <v>0</v>
      </c>
      <c r="K1486" s="38">
        <f>IF(AND(MOD(H1486,30)&lt;=8,MOD(H1486,30)&gt;0),1,0)*VLOOKUP(D1486,'报价表-配送'!$B$32:$I$37,6,0)</f>
        <v>0</v>
      </c>
      <c r="L1486" s="33"/>
      <c r="M1486" s="1"/>
      <c r="N1486" s="38">
        <f t="shared" si="22"/>
        <v>0</v>
      </c>
    </row>
    <row r="1487" spans="1:14" x14ac:dyDescent="0.25">
      <c r="A1487" t="s">
        <v>81</v>
      </c>
      <c r="B1487" s="44" t="s">
        <v>159</v>
      </c>
      <c r="C1487" s="62">
        <f>VLOOKUP(B1487,合并仓明细!$D$2:$F$74,3,0)</f>
        <v>94</v>
      </c>
      <c r="D1487" t="s">
        <v>393</v>
      </c>
      <c r="E1487" s="43" t="s">
        <v>320</v>
      </c>
      <c r="F1487" t="s">
        <v>66</v>
      </c>
      <c r="G1487" s="42">
        <v>92.01</v>
      </c>
      <c r="H1487"/>
      <c r="K1487" s="1"/>
      <c r="L1487" s="33"/>
      <c r="M1487" s="1"/>
      <c r="N1487" s="38">
        <f t="shared" si="22"/>
        <v>0</v>
      </c>
    </row>
    <row r="1488" spans="1:14" x14ac:dyDescent="0.25">
      <c r="A1488" t="s">
        <v>81</v>
      </c>
      <c r="B1488" s="44" t="s">
        <v>159</v>
      </c>
      <c r="C1488" s="62">
        <f>VLOOKUP(B1488,合并仓明细!$D$2:$F$74,3,0)</f>
        <v>94</v>
      </c>
      <c r="D1488" t="s">
        <v>393</v>
      </c>
      <c r="E1488" s="43" t="s">
        <v>300</v>
      </c>
      <c r="F1488" t="s">
        <v>67</v>
      </c>
      <c r="G1488" s="42">
        <v>12797.61</v>
      </c>
      <c r="H1488">
        <v>13.797610000000001</v>
      </c>
      <c r="I1488" s="38">
        <f>IF(H1488&gt;30,QUOTIENT(H1488,30)*VLOOKUP(D1488,'报价表-配送'!$B$32:$I$37,8,0),0)+IF(AND(MOD(H1488,30)&gt;18,MOD(H1488,30)&lt;=30),1,0)*VLOOKUP(D1488,'报价表-配送'!$B$32:$I$37,8,0)</f>
        <v>0</v>
      </c>
      <c r="J1488" s="38">
        <f>IF(AND(MOD(H1488,30)&gt;8,MOD(H1488,30)&lt;=18),1*VLOOKUP(D1488,'报价表-配送'!$B$32:$I$37,7,0),0)</f>
        <v>0</v>
      </c>
      <c r="K1488" s="38">
        <f>IF(AND(MOD(H1488,30)&lt;=8,MOD(H1488,30)&gt;0),1,0)*VLOOKUP(D1488,'报价表-配送'!$B$32:$I$37,6,0)</f>
        <v>0</v>
      </c>
      <c r="L1488" s="33"/>
      <c r="M1488" s="1"/>
      <c r="N1488" s="38">
        <f t="shared" si="22"/>
        <v>0</v>
      </c>
    </row>
    <row r="1489" spans="1:14" x14ac:dyDescent="0.25">
      <c r="A1489" t="s">
        <v>81</v>
      </c>
      <c r="B1489" s="44" t="s">
        <v>159</v>
      </c>
      <c r="C1489" s="62">
        <f>VLOOKUP(B1489,合并仓明细!$D$2:$F$74,3,0)</f>
        <v>94</v>
      </c>
      <c r="D1489" t="s">
        <v>393</v>
      </c>
      <c r="E1489" s="43" t="s">
        <v>300</v>
      </c>
      <c r="F1489" t="s">
        <v>66</v>
      </c>
      <c r="G1489" s="42">
        <v>1000</v>
      </c>
      <c r="H1489"/>
      <c r="K1489" s="1"/>
      <c r="L1489" s="33"/>
      <c r="M1489" s="1"/>
      <c r="N1489" s="38">
        <f t="shared" si="22"/>
        <v>0</v>
      </c>
    </row>
    <row r="1490" spans="1:14" x14ac:dyDescent="0.25">
      <c r="A1490" t="s">
        <v>81</v>
      </c>
      <c r="B1490" s="44" t="s">
        <v>159</v>
      </c>
      <c r="C1490" s="62">
        <f>VLOOKUP(B1490,合并仓明细!$D$2:$F$74,3,0)</f>
        <v>94</v>
      </c>
      <c r="D1490" t="s">
        <v>393</v>
      </c>
      <c r="E1490" s="43" t="s">
        <v>254</v>
      </c>
      <c r="F1490" t="s">
        <v>66</v>
      </c>
      <c r="G1490" s="42">
        <v>496.75</v>
      </c>
      <c r="H1490">
        <v>0.49675000000000002</v>
      </c>
      <c r="K1490" s="1"/>
      <c r="L1490" s="37">
        <f>IF(H1490&gt;30,QUOTIENT(H1490,30)*VLOOKUP(D1490,'报价表-配送'!$B$32:$I$37,8,0),0)+IF(AND(MOD(H1490,30)&gt;18,MOD(H1490,30)&lt;=30),1,0)*VLOOKUP(D1490,'报价表-配送'!$B$32:$I$37,8,0)+IF(AND(MOD(H1490,30)&gt;8,MOD(H1490,30)&lt;=18),1*VLOOKUP(D1490,'报价表-配送'!$B$32:$I$37,7,0),0)+IF(AND(MOD(H1490,30)&lt;=8,MOD(H1490,30)&gt;2.5),1,0)*VLOOKUP(D1490,'报价表-配送'!$B$32:$I$37,6,0)+IF(AND(MOD(H1490,30)&lt;=2.5,MOD(H1490,30)&gt;=1.5),1,0)*VLOOKUP(D1490,'报价表-配送'!$B$32:$I$37,5,0)</f>
        <v>0</v>
      </c>
      <c r="M1490" s="39">
        <f>IF(AND(MOD(H1490,30)&lt;1.5,MOD(H1490,30)&gt;=0.5),H1490,0)*VLOOKUP(D1490,'报价表-配送'!$B$32:$I$37,4,0)*1000+IF(AND(MOD(H1490,30)&lt;0.5,MOD(H1490,30)&gt;=0.02),H1490,0)*VLOOKUP(D1490,'报价表-配送'!$B$32:$I$37,3,0)*1000+IF(AND(MOD(H1490,30)&lt;0.02),H1490,0)*VLOOKUP(D1490,'报价表-配送'!$B$32:$I$37,2,0)*1000</f>
        <v>0</v>
      </c>
      <c r="N1490" s="38">
        <f t="shared" si="22"/>
        <v>0</v>
      </c>
    </row>
    <row r="1491" spans="1:14" x14ac:dyDescent="0.25">
      <c r="A1491" t="s">
        <v>81</v>
      </c>
      <c r="B1491" s="44" t="s">
        <v>159</v>
      </c>
      <c r="C1491" s="62">
        <f>VLOOKUP(B1491,合并仓明细!$D$2:$F$74,3,0)</f>
        <v>94</v>
      </c>
      <c r="D1491" t="s">
        <v>393</v>
      </c>
      <c r="E1491" s="43" t="s">
        <v>305</v>
      </c>
      <c r="F1491" t="s">
        <v>67</v>
      </c>
      <c r="G1491" s="42">
        <v>33573.760000000002</v>
      </c>
      <c r="H1491">
        <v>42.317509999999999</v>
      </c>
      <c r="I1491" s="38">
        <f>IF(H1491&gt;30,QUOTIENT(H1491,30)*VLOOKUP(D1491,'报价表-配送'!$B$32:$I$37,8,0),0)+IF(AND(MOD(H1491,30)&gt;18,MOD(H1491,30)&lt;=30),1,0)*VLOOKUP(D1491,'报价表-配送'!$B$32:$I$37,8,0)</f>
        <v>0</v>
      </c>
      <c r="J1491" s="38">
        <f>IF(AND(MOD(H1491,30)&gt;8,MOD(H1491,30)&lt;=18),1*VLOOKUP(D1491,'报价表-配送'!$B$32:$I$37,7,0),0)</f>
        <v>0</v>
      </c>
      <c r="K1491" s="38">
        <f>IF(AND(MOD(H1491,30)&lt;=8,MOD(H1491,30)&gt;0),1,0)*VLOOKUP(D1491,'报价表-配送'!$B$32:$I$37,6,0)</f>
        <v>0</v>
      </c>
      <c r="L1491" s="33"/>
      <c r="M1491" s="1"/>
      <c r="N1491" s="38">
        <f t="shared" si="22"/>
        <v>0</v>
      </c>
    </row>
    <row r="1492" spans="1:14" x14ac:dyDescent="0.25">
      <c r="A1492" t="s">
        <v>81</v>
      </c>
      <c r="B1492" s="44" t="s">
        <v>159</v>
      </c>
      <c r="C1492" s="62">
        <f>VLOOKUP(B1492,合并仓明细!$D$2:$F$74,3,0)</f>
        <v>94</v>
      </c>
      <c r="D1492" t="s">
        <v>393</v>
      </c>
      <c r="E1492" s="43" t="s">
        <v>305</v>
      </c>
      <c r="F1492" t="s">
        <v>66</v>
      </c>
      <c r="G1492" s="42">
        <v>8743.75</v>
      </c>
      <c r="H1492"/>
      <c r="K1492" s="1"/>
      <c r="L1492" s="33"/>
      <c r="M1492" s="1"/>
      <c r="N1492" s="38">
        <f t="shared" si="22"/>
        <v>0</v>
      </c>
    </row>
    <row r="1493" spans="1:14" x14ac:dyDescent="0.25">
      <c r="A1493" t="s">
        <v>81</v>
      </c>
      <c r="B1493" s="44" t="s">
        <v>160</v>
      </c>
      <c r="C1493" s="62">
        <f>VLOOKUP(B1493,合并仓明细!$D$2:$F$74,3,0)</f>
        <v>130</v>
      </c>
      <c r="D1493" t="s">
        <v>413</v>
      </c>
      <c r="E1493" s="43" t="s">
        <v>308</v>
      </c>
      <c r="F1493" t="s">
        <v>66</v>
      </c>
      <c r="G1493" s="42">
        <v>2.2999999999999998</v>
      </c>
      <c r="H1493">
        <v>2.3E-3</v>
      </c>
      <c r="K1493" s="1"/>
      <c r="L1493" s="37">
        <f>IF(H1493&gt;30,QUOTIENT(H1493,30)*VLOOKUP(D1493,'报价表-配送'!$B$32:$I$37,8,0),0)+IF(AND(MOD(H1493,30)&gt;18,MOD(H1493,30)&lt;=30),1,0)*VLOOKUP(D1493,'报价表-配送'!$B$32:$I$37,8,0)+IF(AND(MOD(H1493,30)&gt;8,MOD(H1493,30)&lt;=18),1*VLOOKUP(D1493,'报价表-配送'!$B$32:$I$37,7,0),0)+IF(AND(MOD(H1493,30)&lt;=8,MOD(H1493,30)&gt;2.5),1,0)*VLOOKUP(D1493,'报价表-配送'!$B$32:$I$37,6,0)+IF(AND(MOD(H1493,30)&lt;=2.5,MOD(H1493,30)&gt;=1.5),1,0)*VLOOKUP(D1493,'报价表-配送'!$B$32:$I$37,5,0)</f>
        <v>0</v>
      </c>
      <c r="M1493" s="39">
        <f>IF(AND(MOD(H1493,30)&lt;1.5,MOD(H1493,30)&gt;=0.5),H1493,0)*VLOOKUP(D1493,'报价表-配送'!$B$32:$I$37,4,0)*1000+IF(AND(MOD(H1493,30)&lt;0.5,MOD(H1493,30)&gt;=0.02),H1493,0)*VLOOKUP(D1493,'报价表-配送'!$B$32:$I$37,3,0)*1000+IF(AND(MOD(H1493,30)&lt;0.02),H1493,0)*VLOOKUP(D1493,'报价表-配送'!$B$32:$I$37,2,0)*1000</f>
        <v>0</v>
      </c>
      <c r="N1493" s="38">
        <f t="shared" si="22"/>
        <v>0</v>
      </c>
    </row>
    <row r="1494" spans="1:14" x14ac:dyDescent="0.25">
      <c r="A1494" t="s">
        <v>81</v>
      </c>
      <c r="B1494" s="44" t="s">
        <v>160</v>
      </c>
      <c r="C1494" s="62">
        <f>VLOOKUP(B1494,合并仓明细!$D$2:$F$74,3,0)</f>
        <v>130</v>
      </c>
      <c r="D1494" t="s">
        <v>413</v>
      </c>
      <c r="E1494" s="43" t="s">
        <v>335</v>
      </c>
      <c r="F1494" t="s">
        <v>68</v>
      </c>
      <c r="G1494" s="42">
        <v>93.13</v>
      </c>
      <c r="H1494">
        <v>9.3129999999999991E-2</v>
      </c>
      <c r="I1494" s="46">
        <f>ROUNDUP(H1494/30,0)*VLOOKUP(D1494,'报价表-配送'!$B$32:$I$37,8,0)</f>
        <v>0</v>
      </c>
      <c r="K1494" s="1"/>
      <c r="L1494" s="33"/>
      <c r="M1494" s="1"/>
      <c r="N1494" s="38">
        <f t="shared" si="22"/>
        <v>0</v>
      </c>
    </row>
    <row r="1495" spans="1:14" x14ac:dyDescent="0.25">
      <c r="A1495" t="s">
        <v>81</v>
      </c>
      <c r="B1495" s="44" t="s">
        <v>160</v>
      </c>
      <c r="C1495" s="62">
        <f>VLOOKUP(B1495,合并仓明细!$D$2:$F$74,3,0)</f>
        <v>130</v>
      </c>
      <c r="D1495" t="s">
        <v>413</v>
      </c>
      <c r="E1495" s="43" t="s">
        <v>362</v>
      </c>
      <c r="F1495" t="s">
        <v>68</v>
      </c>
      <c r="G1495" s="42">
        <v>154.94</v>
      </c>
      <c r="H1495">
        <v>0.76294000000000006</v>
      </c>
      <c r="I1495" s="46">
        <f>ROUNDUP(H1495/30,0)*VLOOKUP(D1495,'报价表-配送'!$B$32:$I$37,8,0)</f>
        <v>0</v>
      </c>
      <c r="K1495" s="1"/>
      <c r="L1495" s="33"/>
      <c r="M1495" s="1"/>
      <c r="N1495" s="38">
        <f t="shared" si="22"/>
        <v>0</v>
      </c>
    </row>
    <row r="1496" spans="1:14" x14ac:dyDescent="0.25">
      <c r="A1496" t="s">
        <v>81</v>
      </c>
      <c r="B1496" s="44" t="s">
        <v>160</v>
      </c>
      <c r="C1496" s="62">
        <f>VLOOKUP(B1496,合并仓明细!$D$2:$F$74,3,0)</f>
        <v>130</v>
      </c>
      <c r="D1496" t="s">
        <v>413</v>
      </c>
      <c r="E1496" s="43" t="s">
        <v>362</v>
      </c>
      <c r="F1496" t="s">
        <v>67</v>
      </c>
      <c r="G1496" s="42">
        <v>608</v>
      </c>
      <c r="H1496"/>
      <c r="K1496" s="1"/>
      <c r="L1496" s="33"/>
      <c r="M1496" s="1"/>
      <c r="N1496" s="38">
        <f t="shared" si="22"/>
        <v>0</v>
      </c>
    </row>
    <row r="1497" spans="1:14" x14ac:dyDescent="0.25">
      <c r="A1497" t="s">
        <v>81</v>
      </c>
      <c r="B1497" s="44" t="s">
        <v>160</v>
      </c>
      <c r="C1497" s="62">
        <f>VLOOKUP(B1497,合并仓明细!$D$2:$F$74,3,0)</f>
        <v>130</v>
      </c>
      <c r="D1497" t="s">
        <v>413</v>
      </c>
      <c r="E1497" s="43" t="s">
        <v>336</v>
      </c>
      <c r="F1497" t="s">
        <v>68</v>
      </c>
      <c r="G1497" s="42">
        <v>2880.41</v>
      </c>
      <c r="H1497">
        <v>2.8804099999999999</v>
      </c>
      <c r="I1497" s="46">
        <f>ROUNDUP(H1497/30,0)*VLOOKUP(D1497,'报价表-配送'!$B$32:$I$37,8,0)</f>
        <v>0</v>
      </c>
      <c r="K1497" s="1"/>
      <c r="L1497" s="33"/>
      <c r="M1497" s="1"/>
      <c r="N1497" s="38">
        <f t="shared" si="22"/>
        <v>0</v>
      </c>
    </row>
    <row r="1498" spans="1:14" x14ac:dyDescent="0.25">
      <c r="A1498" t="s">
        <v>81</v>
      </c>
      <c r="B1498" s="44" t="s">
        <v>160</v>
      </c>
      <c r="C1498" s="62">
        <f>VLOOKUP(B1498,合并仓明细!$D$2:$F$74,3,0)</f>
        <v>130</v>
      </c>
      <c r="D1498" t="s">
        <v>413</v>
      </c>
      <c r="E1498" s="43" t="s">
        <v>346</v>
      </c>
      <c r="F1498" t="s">
        <v>68</v>
      </c>
      <c r="G1498" s="42">
        <v>1134.68</v>
      </c>
      <c r="H1498">
        <v>2.05301</v>
      </c>
      <c r="I1498" s="46">
        <f>ROUNDUP(H1498/30,0)*VLOOKUP(D1498,'报价表-配送'!$B$32:$I$37,8,0)</f>
        <v>0</v>
      </c>
      <c r="K1498" s="1"/>
      <c r="L1498" s="33"/>
      <c r="M1498" s="1"/>
      <c r="N1498" s="38">
        <f t="shared" si="22"/>
        <v>0</v>
      </c>
    </row>
    <row r="1499" spans="1:14" x14ac:dyDescent="0.25">
      <c r="A1499" t="s">
        <v>81</v>
      </c>
      <c r="B1499" s="44" t="s">
        <v>160</v>
      </c>
      <c r="C1499" s="62">
        <f>VLOOKUP(B1499,合并仓明细!$D$2:$F$74,3,0)</f>
        <v>130</v>
      </c>
      <c r="D1499" t="s">
        <v>413</v>
      </c>
      <c r="E1499" s="43" t="s">
        <v>346</v>
      </c>
      <c r="F1499" t="s">
        <v>67</v>
      </c>
      <c r="G1499" s="42">
        <v>918.33</v>
      </c>
      <c r="H1499"/>
      <c r="K1499" s="1"/>
      <c r="L1499" s="33"/>
      <c r="M1499" s="1"/>
      <c r="N1499" s="38">
        <f t="shared" si="22"/>
        <v>0</v>
      </c>
    </row>
    <row r="1500" spans="1:14" x14ac:dyDescent="0.25">
      <c r="A1500" t="s">
        <v>81</v>
      </c>
      <c r="B1500" s="44" t="s">
        <v>160</v>
      </c>
      <c r="C1500" s="62">
        <f>VLOOKUP(B1500,合并仓明细!$D$2:$F$74,3,0)</f>
        <v>130</v>
      </c>
      <c r="D1500" t="s">
        <v>413</v>
      </c>
      <c r="E1500" s="43" t="s">
        <v>337</v>
      </c>
      <c r="F1500" t="s">
        <v>67</v>
      </c>
      <c r="G1500" s="42">
        <v>7268.26</v>
      </c>
      <c r="H1500">
        <v>10.530050000000001</v>
      </c>
      <c r="I1500" s="38">
        <f>IF(H1500&gt;30,QUOTIENT(H1500,30)*VLOOKUP(D1500,'报价表-配送'!$B$32:$I$37,8,0),0)+IF(AND(MOD(H1500,30)&gt;18,MOD(H1500,30)&lt;=30),1,0)*VLOOKUP(D1500,'报价表-配送'!$B$32:$I$37,8,0)</f>
        <v>0</v>
      </c>
      <c r="J1500" s="38">
        <f>IF(AND(MOD(H1500,30)&gt;8,MOD(H1500,30)&lt;=18),1*VLOOKUP(D1500,'报价表-配送'!$B$32:$I$37,7,0),0)</f>
        <v>0</v>
      </c>
      <c r="K1500" s="38">
        <f>IF(AND(MOD(H1500,30)&lt;=8,MOD(H1500,30)&gt;0),1,0)*VLOOKUP(D1500,'报价表-配送'!$B$32:$I$37,6,0)</f>
        <v>0</v>
      </c>
      <c r="L1500" s="33"/>
      <c r="M1500" s="1"/>
      <c r="N1500" s="38">
        <f t="shared" si="22"/>
        <v>0</v>
      </c>
    </row>
    <row r="1501" spans="1:14" x14ac:dyDescent="0.25">
      <c r="A1501" t="s">
        <v>81</v>
      </c>
      <c r="B1501" s="44" t="s">
        <v>160</v>
      </c>
      <c r="C1501" s="62">
        <f>VLOOKUP(B1501,合并仓明细!$D$2:$F$74,3,0)</f>
        <v>130</v>
      </c>
      <c r="D1501" t="s">
        <v>413</v>
      </c>
      <c r="E1501" s="43" t="s">
        <v>337</v>
      </c>
      <c r="F1501" t="s">
        <v>66</v>
      </c>
      <c r="G1501" s="42">
        <v>3261.7900000000004</v>
      </c>
      <c r="H1501"/>
      <c r="K1501" s="1"/>
      <c r="L1501" s="33"/>
      <c r="M1501" s="1"/>
      <c r="N1501" s="38">
        <f t="shared" si="22"/>
        <v>0</v>
      </c>
    </row>
    <row r="1502" spans="1:14" x14ac:dyDescent="0.25">
      <c r="A1502" t="s">
        <v>81</v>
      </c>
      <c r="B1502" s="44" t="s">
        <v>160</v>
      </c>
      <c r="C1502" s="62">
        <f>VLOOKUP(B1502,合并仓明细!$D$2:$F$74,3,0)</f>
        <v>130</v>
      </c>
      <c r="D1502" t="s">
        <v>413</v>
      </c>
      <c r="E1502" s="43" t="s">
        <v>361</v>
      </c>
      <c r="F1502" t="s">
        <v>67</v>
      </c>
      <c r="G1502" s="42">
        <v>690.74</v>
      </c>
      <c r="H1502">
        <v>0.69074000000000002</v>
      </c>
      <c r="I1502" s="38">
        <f>IF(H1502&gt;30,QUOTIENT(H1502,30)*VLOOKUP(D1502,'报价表-配送'!$B$32:$I$37,8,0),0)+IF(AND(MOD(H1502,30)&gt;18,MOD(H1502,30)&lt;=30),1,0)*VLOOKUP(D1502,'报价表-配送'!$B$32:$I$37,8,0)</f>
        <v>0</v>
      </c>
      <c r="J1502" s="38">
        <f>IF(AND(MOD(H1502,30)&gt;8,MOD(H1502,30)&lt;=18),1*VLOOKUP(D1502,'报价表-配送'!$B$32:$I$37,7,0),0)</f>
        <v>0</v>
      </c>
      <c r="K1502" s="38">
        <f>IF(AND(MOD(H1502,30)&lt;=8,MOD(H1502,30)&gt;0),1,0)*VLOOKUP(D1502,'报价表-配送'!$B$32:$I$37,6,0)</f>
        <v>0</v>
      </c>
      <c r="L1502" s="33"/>
      <c r="M1502" s="1"/>
      <c r="N1502" s="38">
        <f t="shared" si="22"/>
        <v>0</v>
      </c>
    </row>
    <row r="1503" spans="1:14" x14ac:dyDescent="0.25">
      <c r="A1503" t="s">
        <v>81</v>
      </c>
      <c r="B1503" s="51" t="s">
        <v>160</v>
      </c>
      <c r="C1503" s="62">
        <f>VLOOKUP(B1503,合并仓明细!$D$2:$F$74,3,0)</f>
        <v>130</v>
      </c>
      <c r="D1503" t="s">
        <v>413</v>
      </c>
      <c r="E1503" s="43" t="s">
        <v>279</v>
      </c>
      <c r="F1503" t="s">
        <v>66</v>
      </c>
      <c r="G1503" s="42">
        <v>4.6399999999999997</v>
      </c>
      <c r="H1503">
        <v>4.64E-3</v>
      </c>
      <c r="K1503" s="1"/>
      <c r="L1503" s="37">
        <f>IF(H1503&gt;30,QUOTIENT(H1503,30)*VLOOKUP(D1503,'报价表-配送'!$B$32:$I$37,8,0),0)+IF(AND(MOD(H1503,30)&gt;18,MOD(H1503,30)&lt;=30),1,0)*VLOOKUP(D1503,'报价表-配送'!$B$32:$I$37,8,0)+IF(AND(MOD(H1503,30)&gt;8,MOD(H1503,30)&lt;=18),1*VLOOKUP(D1503,'报价表-配送'!$B$32:$I$37,7,0),0)+IF(AND(MOD(H1503,30)&lt;=8,MOD(H1503,30)&gt;2.5),1,0)*VLOOKUP(D1503,'报价表-配送'!$B$32:$I$37,6,0)+IF(AND(MOD(H1503,30)&lt;=2.5,MOD(H1503,30)&gt;=1.5),1,0)*VLOOKUP(D1503,'报价表-配送'!$B$32:$I$37,5,0)</f>
        <v>0</v>
      </c>
      <c r="M1503" s="39">
        <f>IF(AND(MOD(H1503,30)&lt;1.5,MOD(H1503,30)&gt;=0.5),H1503,0)*VLOOKUP(D1503,'报价表-配送'!$B$32:$I$37,4,0)*1000+IF(AND(MOD(H1503,30)&lt;0.5,MOD(H1503,30)&gt;=0.02),H1503,0)*VLOOKUP(D1503,'报价表-配送'!$B$32:$I$37,3,0)*1000+IF(AND(MOD(H1503,30)&lt;0.02),H1503,0)*VLOOKUP(D1503,'报价表-配送'!$B$32:$I$37,2,0)*1000</f>
        <v>0</v>
      </c>
      <c r="N1503" s="38">
        <f t="shared" si="22"/>
        <v>0</v>
      </c>
    </row>
    <row r="1504" spans="1:14" x14ac:dyDescent="0.25">
      <c r="A1504" t="s">
        <v>81</v>
      </c>
      <c r="B1504" s="44" t="s">
        <v>160</v>
      </c>
      <c r="C1504" s="62">
        <f>VLOOKUP(B1504,合并仓明细!$D$2:$F$74,3,0)</f>
        <v>130</v>
      </c>
      <c r="D1504" t="s">
        <v>413</v>
      </c>
      <c r="E1504" s="43" t="s">
        <v>375</v>
      </c>
      <c r="F1504" t="s">
        <v>68</v>
      </c>
      <c r="G1504" s="42">
        <v>33.29</v>
      </c>
      <c r="H1504">
        <v>0.37089000000000005</v>
      </c>
      <c r="I1504" s="46">
        <f>ROUNDUP(H1504/30,0)*VLOOKUP(D1504,'报价表-配送'!$B$32:$I$37,8,0)</f>
        <v>0</v>
      </c>
      <c r="K1504" s="1"/>
      <c r="L1504" s="33"/>
      <c r="M1504" s="1"/>
      <c r="N1504" s="38">
        <f t="shared" ref="N1504:N1567" si="23">SUM(I1504:M1504)</f>
        <v>0</v>
      </c>
    </row>
    <row r="1505" spans="1:14" x14ac:dyDescent="0.25">
      <c r="A1505" t="s">
        <v>81</v>
      </c>
      <c r="B1505" s="44" t="s">
        <v>160</v>
      </c>
      <c r="C1505" s="62">
        <f>VLOOKUP(B1505,合并仓明细!$D$2:$F$74,3,0)</f>
        <v>130</v>
      </c>
      <c r="D1505" t="s">
        <v>413</v>
      </c>
      <c r="E1505" s="43" t="s">
        <v>375</v>
      </c>
      <c r="F1505" t="s">
        <v>66</v>
      </c>
      <c r="G1505" s="42">
        <v>337.6</v>
      </c>
      <c r="H1505"/>
      <c r="K1505" s="1"/>
      <c r="L1505" s="33"/>
      <c r="M1505" s="1"/>
      <c r="N1505" s="38">
        <f t="shared" si="23"/>
        <v>0</v>
      </c>
    </row>
    <row r="1506" spans="1:14" x14ac:dyDescent="0.25">
      <c r="A1506" t="s">
        <v>81</v>
      </c>
      <c r="B1506" s="44" t="s">
        <v>160</v>
      </c>
      <c r="C1506" s="62">
        <f>VLOOKUP(B1506,合并仓明细!$D$2:$F$74,3,0)</f>
        <v>130</v>
      </c>
      <c r="D1506" t="s">
        <v>413</v>
      </c>
      <c r="E1506" s="43" t="s">
        <v>317</v>
      </c>
      <c r="F1506" t="s">
        <v>66</v>
      </c>
      <c r="G1506" s="42">
        <v>36.72</v>
      </c>
      <c r="H1506">
        <v>3.6719999999999996E-2</v>
      </c>
      <c r="K1506" s="1"/>
      <c r="L1506" s="37">
        <f>IF(H1506&gt;30,QUOTIENT(H1506,30)*VLOOKUP(D1506,'报价表-配送'!$B$32:$I$37,8,0),0)+IF(AND(MOD(H1506,30)&gt;18,MOD(H1506,30)&lt;=30),1,0)*VLOOKUP(D1506,'报价表-配送'!$B$32:$I$37,8,0)+IF(AND(MOD(H1506,30)&gt;8,MOD(H1506,30)&lt;=18),1*VLOOKUP(D1506,'报价表-配送'!$B$32:$I$37,7,0),0)+IF(AND(MOD(H1506,30)&lt;=8,MOD(H1506,30)&gt;2.5),1,0)*VLOOKUP(D1506,'报价表-配送'!$B$32:$I$37,6,0)+IF(AND(MOD(H1506,30)&lt;=2.5,MOD(H1506,30)&gt;=1.5),1,0)*VLOOKUP(D1506,'报价表-配送'!$B$32:$I$37,5,0)</f>
        <v>0</v>
      </c>
      <c r="M1506" s="39">
        <f>IF(AND(MOD(H1506,30)&lt;1.5,MOD(H1506,30)&gt;=0.5),H1506,0)*VLOOKUP(D1506,'报价表-配送'!$B$32:$I$37,4,0)*1000+IF(AND(MOD(H1506,30)&lt;0.5,MOD(H1506,30)&gt;=0.02),H1506,0)*VLOOKUP(D1506,'报价表-配送'!$B$32:$I$37,3,0)*1000+IF(AND(MOD(H1506,30)&lt;0.02),H1506,0)*VLOOKUP(D1506,'报价表-配送'!$B$32:$I$37,2,0)*1000</f>
        <v>0</v>
      </c>
      <c r="N1506" s="38">
        <f t="shared" si="23"/>
        <v>0</v>
      </c>
    </row>
    <row r="1507" spans="1:14" x14ac:dyDescent="0.25">
      <c r="A1507" t="s">
        <v>81</v>
      </c>
      <c r="B1507" s="44" t="s">
        <v>160</v>
      </c>
      <c r="C1507" s="62">
        <f>VLOOKUP(B1507,合并仓明细!$D$2:$F$74,3,0)</f>
        <v>130</v>
      </c>
      <c r="D1507" t="s">
        <v>413</v>
      </c>
      <c r="E1507" s="43" t="s">
        <v>249</v>
      </c>
      <c r="F1507" t="s">
        <v>66</v>
      </c>
      <c r="G1507" s="42">
        <v>2.09</v>
      </c>
      <c r="H1507">
        <v>2.0899999999999998E-3</v>
      </c>
      <c r="I1507" s="46"/>
      <c r="K1507" s="1"/>
      <c r="L1507" s="37">
        <f>IF(H1507&gt;30,QUOTIENT(H1507,30)*VLOOKUP(D1507,'报价表-配送'!$B$32:$I$37,8,0),0)+IF(AND(MOD(H1507,30)&gt;18,MOD(H1507,30)&lt;=30),1,0)*VLOOKUP(D1507,'报价表-配送'!$B$32:$I$37,8,0)+IF(AND(MOD(H1507,30)&gt;8,MOD(H1507,30)&lt;=18),1*VLOOKUP(D1507,'报价表-配送'!$B$32:$I$37,7,0),0)+IF(AND(MOD(H1507,30)&lt;=8,MOD(H1507,30)&gt;2.5),1,0)*VLOOKUP(D1507,'报价表-配送'!$B$32:$I$37,6,0)+IF(AND(MOD(H1507,30)&lt;=2.5,MOD(H1507,30)&gt;=1.5),1,0)*VLOOKUP(D1507,'报价表-配送'!$B$32:$I$37,5,0)</f>
        <v>0</v>
      </c>
      <c r="M1507" s="39">
        <f>IF(AND(MOD(H1507,30)&lt;1.5,MOD(H1507,30)&gt;=0.5),H1507,0)*VLOOKUP(D1507,'报价表-配送'!$B$32:$I$37,4,0)*1000+IF(AND(MOD(H1507,30)&lt;0.5,MOD(H1507,30)&gt;=0.02),H1507,0)*VLOOKUP(D1507,'报价表-配送'!$B$32:$I$37,3,0)*1000+IF(AND(MOD(H1507,30)&lt;0.02),H1507,0)*VLOOKUP(D1507,'报价表-配送'!$B$32:$I$37,2,0)*1000</f>
        <v>0</v>
      </c>
      <c r="N1507" s="38">
        <f t="shared" si="23"/>
        <v>0</v>
      </c>
    </row>
    <row r="1508" spans="1:14" x14ac:dyDescent="0.25">
      <c r="A1508" t="s">
        <v>81</v>
      </c>
      <c r="B1508" s="44" t="s">
        <v>160</v>
      </c>
      <c r="C1508" s="62">
        <f>VLOOKUP(B1508,合并仓明细!$D$2:$F$74,3,0)</f>
        <v>130</v>
      </c>
      <c r="D1508" t="s">
        <v>413</v>
      </c>
      <c r="E1508" s="43" t="s">
        <v>320</v>
      </c>
      <c r="F1508" t="s">
        <v>66</v>
      </c>
      <c r="G1508" s="42">
        <v>3.5</v>
      </c>
      <c r="H1508">
        <v>3.5000000000000001E-3</v>
      </c>
      <c r="K1508" s="1"/>
      <c r="L1508" s="37">
        <f>IF(H1508&gt;30,QUOTIENT(H1508,30)*VLOOKUP(D1508,'报价表-配送'!$B$32:$I$37,8,0),0)+IF(AND(MOD(H1508,30)&gt;18,MOD(H1508,30)&lt;=30),1,0)*VLOOKUP(D1508,'报价表-配送'!$B$32:$I$37,8,0)+IF(AND(MOD(H1508,30)&gt;8,MOD(H1508,30)&lt;=18),1*VLOOKUP(D1508,'报价表-配送'!$B$32:$I$37,7,0),0)+IF(AND(MOD(H1508,30)&lt;=8,MOD(H1508,30)&gt;2.5),1,0)*VLOOKUP(D1508,'报价表-配送'!$B$32:$I$37,6,0)+IF(AND(MOD(H1508,30)&lt;=2.5,MOD(H1508,30)&gt;=1.5),1,0)*VLOOKUP(D1508,'报价表-配送'!$B$32:$I$37,5,0)</f>
        <v>0</v>
      </c>
      <c r="M1508" s="39">
        <f>IF(AND(MOD(H1508,30)&lt;1.5,MOD(H1508,30)&gt;=0.5),H1508,0)*VLOOKUP(D1508,'报价表-配送'!$B$32:$I$37,4,0)*1000+IF(AND(MOD(H1508,30)&lt;0.5,MOD(H1508,30)&gt;=0.02),H1508,0)*VLOOKUP(D1508,'报价表-配送'!$B$32:$I$37,3,0)*1000+IF(AND(MOD(H1508,30)&lt;0.02),H1508,0)*VLOOKUP(D1508,'报价表-配送'!$B$32:$I$37,2,0)*1000</f>
        <v>0</v>
      </c>
      <c r="N1508" s="38">
        <f t="shared" si="23"/>
        <v>0</v>
      </c>
    </row>
    <row r="1509" spans="1:14" x14ac:dyDescent="0.25">
      <c r="A1509" t="s">
        <v>81</v>
      </c>
      <c r="B1509" s="44" t="s">
        <v>161</v>
      </c>
      <c r="C1509" s="62">
        <f>VLOOKUP(B1509,合并仓明细!$D$2:$F$74,3,0)</f>
        <v>381</v>
      </c>
      <c r="D1509" t="s">
        <v>410</v>
      </c>
      <c r="E1509" s="43" t="s">
        <v>257</v>
      </c>
      <c r="F1509" t="s">
        <v>66</v>
      </c>
      <c r="G1509" s="111">
        <v>17.2</v>
      </c>
      <c r="H1509" s="103">
        <v>1.72E-2</v>
      </c>
      <c r="K1509" s="1"/>
      <c r="L1509" s="37">
        <f>IF(H1509&gt;30,QUOTIENT(H1509,30)*VLOOKUP(D1509,'报价表-配送'!$B$32:$I$37,8,0),0)+IF(AND(MOD(H1509,30)&gt;18,MOD(H1509,30)&lt;=30),1,0)*VLOOKUP(D1509,'报价表-配送'!$B$32:$I$37,8,0)+IF(AND(MOD(H1509,30)&gt;8,MOD(H1509,30)&lt;=18),1*VLOOKUP(D1509,'报价表-配送'!$B$32:$I$37,7,0),0)+IF(AND(MOD(H1509,30)&lt;=8,MOD(H1509,30)&gt;2.5),1,0)*VLOOKUP(D1509,'报价表-配送'!$B$32:$I$37,6,0)+IF(AND(MOD(H1509,30)&lt;=2.5,MOD(H1509,30)&gt;=1.5),1,0)*VLOOKUP(D1509,'报价表-配送'!$B$32:$I$37,5,0)</f>
        <v>0</v>
      </c>
      <c r="M1509" s="39">
        <f>IF(AND(MOD(H1509,30)&lt;1.5,MOD(H1509,30)&gt;=0.5),H1509,0)*VLOOKUP(D1509,'报价表-配送'!$B$32:$I$37,4,0)*1000+IF(AND(MOD(H1509,30)&lt;0.5,MOD(H1509,30)&gt;=0.02),H1509,0)*VLOOKUP(D1509,'报价表-配送'!$B$32:$I$37,3,0)*1000+IF(AND(MOD(H1509,30)&lt;0.02),H1509,0)*VLOOKUP(D1509,'报价表-配送'!$B$32:$I$37,2,0)*1000</f>
        <v>0</v>
      </c>
      <c r="N1509" s="38">
        <f t="shared" si="23"/>
        <v>0</v>
      </c>
    </row>
    <row r="1510" spans="1:14" x14ac:dyDescent="0.25">
      <c r="A1510" t="s">
        <v>81</v>
      </c>
      <c r="B1510" s="44" t="s">
        <v>161</v>
      </c>
      <c r="C1510" s="62">
        <f>VLOOKUP(B1510,合并仓明细!$D$2:$F$74,3,0)</f>
        <v>381</v>
      </c>
      <c r="D1510" t="s">
        <v>410</v>
      </c>
      <c r="E1510" s="43" t="s">
        <v>266</v>
      </c>
      <c r="F1510" t="s">
        <v>67</v>
      </c>
      <c r="G1510" s="42">
        <v>1361.81</v>
      </c>
      <c r="H1510">
        <v>1.8873599999999999</v>
      </c>
      <c r="I1510" s="38">
        <f>IF(H1510&gt;30,QUOTIENT(H1510,30)*VLOOKUP(D1510,'报价表-配送'!$B$32:$I$37,8,0),0)+IF(AND(MOD(H1510,30)&gt;18,MOD(H1510,30)&lt;=30),1,0)*VLOOKUP(D1510,'报价表-配送'!$B$32:$I$37,8,0)</f>
        <v>0</v>
      </c>
      <c r="J1510" s="38">
        <f>IF(AND(MOD(H1510,30)&gt;8,MOD(H1510,30)&lt;=18),1*VLOOKUP(D1510,'报价表-配送'!$B$32:$I$37,7,0),0)</f>
        <v>0</v>
      </c>
      <c r="K1510" s="38">
        <f>IF(AND(MOD(H1510,30)&lt;=8,MOD(H1510,30)&gt;0),1,0)*VLOOKUP(D1510,'报价表-配送'!$B$32:$I$37,6,0)</f>
        <v>0</v>
      </c>
      <c r="L1510" s="33"/>
      <c r="M1510" s="1"/>
      <c r="N1510" s="38">
        <f t="shared" si="23"/>
        <v>0</v>
      </c>
    </row>
    <row r="1511" spans="1:14" x14ac:dyDescent="0.25">
      <c r="A1511" t="s">
        <v>81</v>
      </c>
      <c r="B1511" s="44" t="s">
        <v>161</v>
      </c>
      <c r="C1511" s="62">
        <f>VLOOKUP(B1511,合并仓明细!$D$2:$F$74,3,0)</f>
        <v>381</v>
      </c>
      <c r="D1511" t="s">
        <v>410</v>
      </c>
      <c r="E1511" s="43" t="s">
        <v>266</v>
      </c>
      <c r="F1511" t="s">
        <v>66</v>
      </c>
      <c r="G1511" s="42">
        <v>525.54999999999995</v>
      </c>
      <c r="H1511"/>
      <c r="K1511" s="1"/>
      <c r="L1511" s="33"/>
      <c r="M1511" s="1"/>
      <c r="N1511" s="38">
        <f t="shared" si="23"/>
        <v>0</v>
      </c>
    </row>
    <row r="1512" spans="1:14" x14ac:dyDescent="0.25">
      <c r="A1512" t="s">
        <v>81</v>
      </c>
      <c r="B1512" s="44" t="s">
        <v>161</v>
      </c>
      <c r="C1512" s="62">
        <f>VLOOKUP(B1512,合并仓明细!$D$2:$F$74,3,0)</f>
        <v>381</v>
      </c>
      <c r="D1512" t="s">
        <v>410</v>
      </c>
      <c r="E1512" s="43" t="s">
        <v>258</v>
      </c>
      <c r="F1512" t="s">
        <v>66</v>
      </c>
      <c r="G1512" s="42">
        <v>1100</v>
      </c>
      <c r="H1512">
        <v>1.1000000000000001</v>
      </c>
      <c r="K1512" s="1"/>
      <c r="L1512" s="37">
        <f>IF(H1512&gt;30,QUOTIENT(H1512,30)*VLOOKUP(D1512,'报价表-配送'!$B$32:$I$37,8,0),0)+IF(AND(MOD(H1512,30)&gt;18,MOD(H1512,30)&lt;=30),1,0)*VLOOKUP(D1512,'报价表-配送'!$B$32:$I$37,8,0)+IF(AND(MOD(H1512,30)&gt;8,MOD(H1512,30)&lt;=18),1*VLOOKUP(D1512,'报价表-配送'!$B$32:$I$37,7,0),0)+IF(AND(MOD(H1512,30)&lt;=8,MOD(H1512,30)&gt;2.5),1,0)*VLOOKUP(D1512,'报价表-配送'!$B$32:$I$37,6,0)+IF(AND(MOD(H1512,30)&lt;=2.5,MOD(H1512,30)&gt;=1.5),1,0)*VLOOKUP(D1512,'报价表-配送'!$B$32:$I$37,5,0)</f>
        <v>0</v>
      </c>
      <c r="M1512" s="39">
        <f>IF(AND(MOD(H1512,30)&lt;1.5,MOD(H1512,30)&gt;=0.5),H1512,0)*VLOOKUP(D1512,'报价表-配送'!$B$32:$I$37,4,0)*1000+IF(AND(MOD(H1512,30)&lt;0.5,MOD(H1512,30)&gt;=0.02),H1512,0)*VLOOKUP(D1512,'报价表-配送'!$B$32:$I$37,3,0)*1000+IF(AND(MOD(H1512,30)&lt;0.02),H1512,0)*VLOOKUP(D1512,'报价表-配送'!$B$32:$I$37,2,0)*1000</f>
        <v>0</v>
      </c>
      <c r="N1512" s="38">
        <f t="shared" si="23"/>
        <v>0</v>
      </c>
    </row>
    <row r="1513" spans="1:14" x14ac:dyDescent="0.25">
      <c r="A1513" t="s">
        <v>81</v>
      </c>
      <c r="B1513" s="44" t="s">
        <v>161</v>
      </c>
      <c r="C1513" s="62">
        <f>VLOOKUP(B1513,合并仓明细!$D$2:$F$74,3,0)</f>
        <v>381</v>
      </c>
      <c r="D1513" t="s">
        <v>410</v>
      </c>
      <c r="E1513" s="43" t="s">
        <v>353</v>
      </c>
      <c r="F1513" t="s">
        <v>66</v>
      </c>
      <c r="G1513" s="42">
        <v>20.3</v>
      </c>
      <c r="H1513">
        <v>2.0300000000000002E-2</v>
      </c>
      <c r="I1513" s="46"/>
      <c r="K1513" s="1"/>
      <c r="L1513" s="37">
        <f>IF(H1513&gt;30,QUOTIENT(H1513,30)*VLOOKUP(D1513,'报价表-配送'!$B$32:$I$37,8,0),0)+IF(AND(MOD(H1513,30)&gt;18,MOD(H1513,30)&lt;=30),1,0)*VLOOKUP(D1513,'报价表-配送'!$B$32:$I$37,8,0)+IF(AND(MOD(H1513,30)&gt;8,MOD(H1513,30)&lt;=18),1*VLOOKUP(D1513,'报价表-配送'!$B$32:$I$37,7,0),0)+IF(AND(MOD(H1513,30)&lt;=8,MOD(H1513,30)&gt;2.5),1,0)*VLOOKUP(D1513,'报价表-配送'!$B$32:$I$37,6,0)+IF(AND(MOD(H1513,30)&lt;=2.5,MOD(H1513,30)&gt;=1.5),1,0)*VLOOKUP(D1513,'报价表-配送'!$B$32:$I$37,5,0)</f>
        <v>0</v>
      </c>
      <c r="M1513" s="39">
        <f>IF(AND(MOD(H1513,30)&lt;1.5,MOD(H1513,30)&gt;=0.5),H1513,0)*VLOOKUP(D1513,'报价表-配送'!$B$32:$I$37,4,0)*1000+IF(AND(MOD(H1513,30)&lt;0.5,MOD(H1513,30)&gt;=0.02),H1513,0)*VLOOKUP(D1513,'报价表-配送'!$B$32:$I$37,3,0)*1000+IF(AND(MOD(H1513,30)&lt;0.02),H1513,0)*VLOOKUP(D1513,'报价表-配送'!$B$32:$I$37,2,0)*1000</f>
        <v>0</v>
      </c>
      <c r="N1513" s="38">
        <f t="shared" si="23"/>
        <v>0</v>
      </c>
    </row>
    <row r="1514" spans="1:14" x14ac:dyDescent="0.25">
      <c r="A1514" t="s">
        <v>81</v>
      </c>
      <c r="B1514" s="44" t="s">
        <v>161</v>
      </c>
      <c r="C1514" s="62">
        <f>VLOOKUP(B1514,合并仓明细!$D$2:$F$74,3,0)</f>
        <v>381</v>
      </c>
      <c r="D1514" t="s">
        <v>410</v>
      </c>
      <c r="E1514" s="43" t="s">
        <v>251</v>
      </c>
      <c r="F1514" t="s">
        <v>68</v>
      </c>
      <c r="G1514" s="42">
        <v>903.84</v>
      </c>
      <c r="H1514">
        <v>2.1041699999999999</v>
      </c>
      <c r="I1514" s="46">
        <f>ROUNDUP(H1514/30,0)*VLOOKUP(D1514,'报价表-配送'!$B$32:$I$37,8,0)</f>
        <v>0</v>
      </c>
      <c r="K1514" s="1"/>
      <c r="L1514" s="33"/>
      <c r="M1514" s="1"/>
      <c r="N1514" s="38">
        <f t="shared" si="23"/>
        <v>0</v>
      </c>
    </row>
    <row r="1515" spans="1:14" x14ac:dyDescent="0.25">
      <c r="A1515" t="s">
        <v>81</v>
      </c>
      <c r="B1515" s="44" t="s">
        <v>161</v>
      </c>
      <c r="C1515" s="62">
        <f>VLOOKUP(B1515,合并仓明细!$D$2:$F$74,3,0)</f>
        <v>381</v>
      </c>
      <c r="D1515" t="s">
        <v>410</v>
      </c>
      <c r="E1515" s="43" t="s">
        <v>251</v>
      </c>
      <c r="F1515" t="s">
        <v>67</v>
      </c>
      <c r="G1515" s="42">
        <v>680.83</v>
      </c>
      <c r="H1515"/>
      <c r="K1515" s="1"/>
      <c r="L1515" s="33"/>
      <c r="M1515" s="1"/>
      <c r="N1515" s="38">
        <f t="shared" si="23"/>
        <v>0</v>
      </c>
    </row>
    <row r="1516" spans="1:14" x14ac:dyDescent="0.25">
      <c r="A1516" t="s">
        <v>81</v>
      </c>
      <c r="B1516" s="44" t="s">
        <v>161</v>
      </c>
      <c r="C1516" s="62">
        <f>VLOOKUP(B1516,合并仓明细!$D$2:$F$74,3,0)</f>
        <v>381</v>
      </c>
      <c r="D1516" t="s">
        <v>410</v>
      </c>
      <c r="E1516" s="43" t="s">
        <v>251</v>
      </c>
      <c r="F1516" t="s">
        <v>66</v>
      </c>
      <c r="G1516" s="42">
        <v>519.5</v>
      </c>
      <c r="H1516"/>
      <c r="I1516" s="46"/>
      <c r="K1516" s="1"/>
      <c r="L1516" s="33"/>
      <c r="M1516" s="1"/>
      <c r="N1516" s="38">
        <f t="shared" si="23"/>
        <v>0</v>
      </c>
    </row>
    <row r="1517" spans="1:14" x14ac:dyDescent="0.25">
      <c r="A1517" t="s">
        <v>81</v>
      </c>
      <c r="B1517" s="44" t="s">
        <v>161</v>
      </c>
      <c r="C1517" s="62">
        <f>VLOOKUP(B1517,合并仓明细!$D$2:$F$74,3,0)</f>
        <v>381</v>
      </c>
      <c r="D1517" t="s">
        <v>410</v>
      </c>
      <c r="E1517" s="43" t="s">
        <v>376</v>
      </c>
      <c r="F1517" t="s">
        <v>68</v>
      </c>
      <c r="G1517" s="42">
        <v>1526.82</v>
      </c>
      <c r="H1517">
        <v>26.18187</v>
      </c>
      <c r="I1517" s="46">
        <f>ROUNDUP(H1517/30,0)*VLOOKUP(D1517,'报价表-配送'!$B$32:$I$37,8,0)</f>
        <v>0</v>
      </c>
      <c r="K1517" s="1"/>
      <c r="L1517" s="33"/>
      <c r="M1517" s="1"/>
      <c r="N1517" s="38">
        <f t="shared" si="23"/>
        <v>0</v>
      </c>
    </row>
    <row r="1518" spans="1:14" x14ac:dyDescent="0.25">
      <c r="A1518" t="s">
        <v>81</v>
      </c>
      <c r="B1518" s="44" t="s">
        <v>161</v>
      </c>
      <c r="C1518" s="62">
        <f>VLOOKUP(B1518,合并仓明细!$D$2:$F$74,3,0)</f>
        <v>381</v>
      </c>
      <c r="D1518" t="s">
        <v>410</v>
      </c>
      <c r="E1518" s="43" t="s">
        <v>376</v>
      </c>
      <c r="F1518" t="s">
        <v>67</v>
      </c>
      <c r="G1518" s="42">
        <v>24655.05</v>
      </c>
      <c r="H1518"/>
      <c r="K1518" s="1"/>
      <c r="L1518" s="33"/>
      <c r="M1518" s="1"/>
      <c r="N1518" s="38">
        <f t="shared" si="23"/>
        <v>0</v>
      </c>
    </row>
    <row r="1519" spans="1:14" x14ac:dyDescent="0.25">
      <c r="A1519" t="s">
        <v>81</v>
      </c>
      <c r="B1519" s="44" t="s">
        <v>161</v>
      </c>
      <c r="C1519" s="62">
        <f>VLOOKUP(B1519,合并仓明细!$D$2:$F$74,3,0)</f>
        <v>381</v>
      </c>
      <c r="D1519" t="s">
        <v>410</v>
      </c>
      <c r="E1519" s="43" t="s">
        <v>376</v>
      </c>
      <c r="F1519" t="s">
        <v>67</v>
      </c>
      <c r="G1519" s="111">
        <v>8737.27</v>
      </c>
      <c r="H1519" s="103">
        <v>8.7372700000000005</v>
      </c>
      <c r="I1519" s="38">
        <f>IF(H1519&gt;30,QUOTIENT(H1519,30)*VLOOKUP(D1519,'报价表-配送'!$B$32:$I$37,8,0),0)+IF(AND(MOD(H1519,30)&gt;18,MOD(H1519,30)&lt;=30),1,0)*VLOOKUP(D1519,'报价表-配送'!$B$32:$I$37,8,0)</f>
        <v>0</v>
      </c>
      <c r="J1519" s="38">
        <f>IF(AND(MOD(H1519,30)&gt;8,MOD(H1519,30)&lt;=18),1*VLOOKUP(D1519,'报价表-配送'!$B$32:$I$37,7,0),0)</f>
        <v>0</v>
      </c>
      <c r="K1519" s="38">
        <f>IF(AND(MOD(H1519,30)&lt;=8,MOD(H1519,30)&gt;0),1,0)*VLOOKUP(D1519,'报价表-配送'!$B$32:$I$37,6,0)</f>
        <v>0</v>
      </c>
      <c r="L1519" s="33"/>
      <c r="M1519" s="1"/>
      <c r="N1519" s="38">
        <f t="shared" si="23"/>
        <v>0</v>
      </c>
    </row>
    <row r="1520" spans="1:14" x14ac:dyDescent="0.25">
      <c r="A1520" t="s">
        <v>81</v>
      </c>
      <c r="B1520" s="44" t="s">
        <v>161</v>
      </c>
      <c r="C1520" s="62">
        <f>VLOOKUP(B1520,合并仓明细!$D$2:$F$74,3,0)</f>
        <v>381</v>
      </c>
      <c r="D1520" t="s">
        <v>410</v>
      </c>
      <c r="E1520" s="43" t="s">
        <v>328</v>
      </c>
      <c r="F1520" t="s">
        <v>66</v>
      </c>
      <c r="G1520" s="111">
        <v>1523.2</v>
      </c>
      <c r="H1520" s="103">
        <v>1.5232000000000001</v>
      </c>
      <c r="K1520" s="1"/>
      <c r="L1520" s="37">
        <f>IF(H1520&gt;30,QUOTIENT(H1520,30)*VLOOKUP(D1520,'报价表-配送'!$B$32:$I$37,8,0),0)+IF(AND(MOD(H1520,30)&gt;18,MOD(H1520,30)&lt;=30),1,0)*VLOOKUP(D1520,'报价表-配送'!$B$32:$I$37,8,0)+IF(AND(MOD(H1520,30)&gt;8,MOD(H1520,30)&lt;=18),1*VLOOKUP(D1520,'报价表-配送'!$B$32:$I$37,7,0),0)+IF(AND(MOD(H1520,30)&lt;=8,MOD(H1520,30)&gt;2.5),1,0)*VLOOKUP(D1520,'报价表-配送'!$B$32:$I$37,6,0)+IF(AND(MOD(H1520,30)&lt;=2.5,MOD(H1520,30)&gt;=1.5),1,0)*VLOOKUP(D1520,'报价表-配送'!$B$32:$I$37,5,0)</f>
        <v>0</v>
      </c>
      <c r="M1520" s="39">
        <f>IF(AND(MOD(H1520,30)&lt;1.5,MOD(H1520,30)&gt;=0.5),H1520,0)*VLOOKUP(D1520,'报价表-配送'!$B$32:$I$37,4,0)*1000+IF(AND(MOD(H1520,30)&lt;0.5,MOD(H1520,30)&gt;=0.02),H1520,0)*VLOOKUP(D1520,'报价表-配送'!$B$32:$I$37,3,0)*1000+IF(AND(MOD(H1520,30)&lt;0.02),H1520,0)*VLOOKUP(D1520,'报价表-配送'!$B$32:$I$37,2,0)*1000</f>
        <v>0</v>
      </c>
      <c r="N1520" s="38">
        <f t="shared" si="23"/>
        <v>0</v>
      </c>
    </row>
    <row r="1521" spans="1:14" x14ac:dyDescent="0.25">
      <c r="A1521" t="s">
        <v>81</v>
      </c>
      <c r="B1521" s="44" t="s">
        <v>162</v>
      </c>
      <c r="C1521" s="62">
        <f>VLOOKUP(B1521,合并仓明细!$D$2:$F$74,3,0)</f>
        <v>49</v>
      </c>
      <c r="D1521" t="s">
        <v>393</v>
      </c>
      <c r="E1521" s="43" t="s">
        <v>334</v>
      </c>
      <c r="F1521" t="s">
        <v>66</v>
      </c>
      <c r="G1521" s="42">
        <v>50.890000000000008</v>
      </c>
      <c r="H1521">
        <v>5.0890000000000005E-2</v>
      </c>
      <c r="K1521" s="1"/>
      <c r="L1521" s="37">
        <f>IF(H1521&gt;30,QUOTIENT(H1521,30)*VLOOKUP(D1521,'报价表-配送'!$B$32:$I$37,8,0),0)+IF(AND(MOD(H1521,30)&gt;18,MOD(H1521,30)&lt;=30),1,0)*VLOOKUP(D1521,'报价表-配送'!$B$32:$I$37,8,0)+IF(AND(MOD(H1521,30)&gt;8,MOD(H1521,30)&lt;=18),1*VLOOKUP(D1521,'报价表-配送'!$B$32:$I$37,7,0),0)+IF(AND(MOD(H1521,30)&lt;=8,MOD(H1521,30)&gt;2.5),1,0)*VLOOKUP(D1521,'报价表-配送'!$B$32:$I$37,6,0)+IF(AND(MOD(H1521,30)&lt;=2.5,MOD(H1521,30)&gt;=1.5),1,0)*VLOOKUP(D1521,'报价表-配送'!$B$32:$I$37,5,0)</f>
        <v>0</v>
      </c>
      <c r="M1521" s="39">
        <f>IF(AND(MOD(H1521,30)&lt;1.5,MOD(H1521,30)&gt;=0.5),H1521,0)*VLOOKUP(D1521,'报价表-配送'!$B$32:$I$37,4,0)*1000+IF(AND(MOD(H1521,30)&lt;0.5,MOD(H1521,30)&gt;=0.02),H1521,0)*VLOOKUP(D1521,'报价表-配送'!$B$32:$I$37,3,0)*1000+IF(AND(MOD(H1521,30)&lt;0.02),H1521,0)*VLOOKUP(D1521,'报价表-配送'!$B$32:$I$37,2,0)*1000</f>
        <v>0</v>
      </c>
      <c r="N1521" s="38">
        <f t="shared" si="23"/>
        <v>0</v>
      </c>
    </row>
    <row r="1522" spans="1:14" x14ac:dyDescent="0.25">
      <c r="A1522" t="s">
        <v>81</v>
      </c>
      <c r="B1522" s="44" t="s">
        <v>162</v>
      </c>
      <c r="C1522" s="62">
        <f>VLOOKUP(B1522,合并仓明细!$D$2:$F$74,3,0)</f>
        <v>49</v>
      </c>
      <c r="D1522" t="s">
        <v>393</v>
      </c>
      <c r="E1522" s="43" t="s">
        <v>258</v>
      </c>
      <c r="F1522" t="s">
        <v>67</v>
      </c>
      <c r="G1522" s="42">
        <v>0</v>
      </c>
      <c r="H1522">
        <v>0.11090000000000001</v>
      </c>
      <c r="I1522" s="38">
        <f>IF(H1522&gt;30,QUOTIENT(H1522,30)*VLOOKUP(D1522,'报价表-配送'!$B$32:$I$37,8,0),0)+IF(AND(MOD(H1522,30)&gt;18,MOD(H1522,30)&lt;=30),1,0)*VLOOKUP(D1522,'报价表-配送'!$B$32:$I$37,8,0)</f>
        <v>0</v>
      </c>
      <c r="J1522" s="38">
        <f>IF(AND(MOD(H1522,30)&gt;8,MOD(H1522,30)&lt;=18),1*VLOOKUP(D1522,'报价表-配送'!$B$32:$I$37,7,0),0)</f>
        <v>0</v>
      </c>
      <c r="K1522" s="38">
        <f>IF(AND(MOD(H1522,30)&lt;=8,MOD(H1522,30)&gt;0),1,0)*VLOOKUP(D1522,'报价表-配送'!$B$32:$I$37,6,0)</f>
        <v>0</v>
      </c>
      <c r="L1522" s="33"/>
      <c r="M1522" s="1"/>
      <c r="N1522" s="38">
        <f t="shared" si="23"/>
        <v>0</v>
      </c>
    </row>
    <row r="1523" spans="1:14" x14ac:dyDescent="0.25">
      <c r="A1523" t="s">
        <v>81</v>
      </c>
      <c r="B1523" s="44" t="s">
        <v>162</v>
      </c>
      <c r="C1523" s="62">
        <f>VLOOKUP(B1523,合并仓明细!$D$2:$F$74,3,0)</f>
        <v>49</v>
      </c>
      <c r="D1523" t="s">
        <v>393</v>
      </c>
      <c r="E1523" s="43" t="s">
        <v>258</v>
      </c>
      <c r="F1523" t="s">
        <v>66</v>
      </c>
      <c r="G1523" s="42">
        <v>110.9</v>
      </c>
      <c r="H1523"/>
      <c r="K1523" s="1"/>
      <c r="L1523" s="33"/>
      <c r="M1523" s="1"/>
      <c r="N1523" s="38">
        <f t="shared" si="23"/>
        <v>0</v>
      </c>
    </row>
    <row r="1524" spans="1:14" x14ac:dyDescent="0.25">
      <c r="A1524" t="s">
        <v>81</v>
      </c>
      <c r="B1524" s="44" t="s">
        <v>162</v>
      </c>
      <c r="C1524" s="62">
        <f>VLOOKUP(B1524,合并仓明细!$D$2:$F$74,3,0)</f>
        <v>49</v>
      </c>
      <c r="D1524" t="s">
        <v>393</v>
      </c>
      <c r="E1524" s="43" t="s">
        <v>336</v>
      </c>
      <c r="F1524" t="s">
        <v>66</v>
      </c>
      <c r="G1524" s="42">
        <v>29.02</v>
      </c>
      <c r="H1524">
        <v>2.9020000000000001E-2</v>
      </c>
      <c r="K1524" s="1"/>
      <c r="L1524" s="37">
        <f>IF(H1524&gt;30,QUOTIENT(H1524,30)*VLOOKUP(D1524,'报价表-配送'!$B$32:$I$37,8,0),0)+IF(AND(MOD(H1524,30)&gt;18,MOD(H1524,30)&lt;=30),1,0)*VLOOKUP(D1524,'报价表-配送'!$B$32:$I$37,8,0)+IF(AND(MOD(H1524,30)&gt;8,MOD(H1524,30)&lt;=18),1*VLOOKUP(D1524,'报价表-配送'!$B$32:$I$37,7,0),0)+IF(AND(MOD(H1524,30)&lt;=8,MOD(H1524,30)&gt;2.5),1,0)*VLOOKUP(D1524,'报价表-配送'!$B$32:$I$37,6,0)+IF(AND(MOD(H1524,30)&lt;=2.5,MOD(H1524,30)&gt;=1.5),1,0)*VLOOKUP(D1524,'报价表-配送'!$B$32:$I$37,5,0)</f>
        <v>0</v>
      </c>
      <c r="M1524" s="39">
        <f>IF(AND(MOD(H1524,30)&lt;1.5,MOD(H1524,30)&gt;=0.5),H1524,0)*VLOOKUP(D1524,'报价表-配送'!$B$32:$I$37,4,0)*1000+IF(AND(MOD(H1524,30)&lt;0.5,MOD(H1524,30)&gt;=0.02),H1524,0)*VLOOKUP(D1524,'报价表-配送'!$B$32:$I$37,3,0)*1000+IF(AND(MOD(H1524,30)&lt;0.02),H1524,0)*VLOOKUP(D1524,'报价表-配送'!$B$32:$I$37,2,0)*1000</f>
        <v>0</v>
      </c>
      <c r="N1524" s="38">
        <f t="shared" si="23"/>
        <v>0</v>
      </c>
    </row>
    <row r="1525" spans="1:14" x14ac:dyDescent="0.25">
      <c r="A1525" t="s">
        <v>81</v>
      </c>
      <c r="B1525" s="44" t="s">
        <v>162</v>
      </c>
      <c r="C1525" s="62">
        <f>VLOOKUP(B1525,合并仓明细!$D$2:$F$74,3,0)</f>
        <v>49</v>
      </c>
      <c r="D1525" t="s">
        <v>393</v>
      </c>
      <c r="E1525" s="43" t="s">
        <v>276</v>
      </c>
      <c r="F1525" t="s">
        <v>66</v>
      </c>
      <c r="G1525" s="42">
        <v>4.38</v>
      </c>
      <c r="H1525">
        <v>4.3800000000000002E-3</v>
      </c>
      <c r="I1525" s="46"/>
      <c r="K1525" s="1"/>
      <c r="L1525" s="37">
        <f>IF(H1525&gt;30,QUOTIENT(H1525,30)*VLOOKUP(D1525,'报价表-配送'!$B$32:$I$37,8,0),0)+IF(AND(MOD(H1525,30)&gt;18,MOD(H1525,30)&lt;=30),1,0)*VLOOKUP(D1525,'报价表-配送'!$B$32:$I$37,8,0)+IF(AND(MOD(H1525,30)&gt;8,MOD(H1525,30)&lt;=18),1*VLOOKUP(D1525,'报价表-配送'!$B$32:$I$37,7,0),0)+IF(AND(MOD(H1525,30)&lt;=8,MOD(H1525,30)&gt;2.5),1,0)*VLOOKUP(D1525,'报价表-配送'!$B$32:$I$37,6,0)+IF(AND(MOD(H1525,30)&lt;=2.5,MOD(H1525,30)&gt;=1.5),1,0)*VLOOKUP(D1525,'报价表-配送'!$B$32:$I$37,5,0)</f>
        <v>0</v>
      </c>
      <c r="M1525" s="39">
        <f>IF(AND(MOD(H1525,30)&lt;1.5,MOD(H1525,30)&gt;=0.5),H1525,0)*VLOOKUP(D1525,'报价表-配送'!$B$32:$I$37,4,0)*1000+IF(AND(MOD(H1525,30)&lt;0.5,MOD(H1525,30)&gt;=0.02),H1525,0)*VLOOKUP(D1525,'报价表-配送'!$B$32:$I$37,3,0)*1000+IF(AND(MOD(H1525,30)&lt;0.02),H1525,0)*VLOOKUP(D1525,'报价表-配送'!$B$32:$I$37,2,0)*1000</f>
        <v>0</v>
      </c>
      <c r="N1525" s="38">
        <f t="shared" si="23"/>
        <v>0</v>
      </c>
    </row>
    <row r="1526" spans="1:14" x14ac:dyDescent="0.25">
      <c r="A1526" t="s">
        <v>81</v>
      </c>
      <c r="B1526" s="44" t="s">
        <v>162</v>
      </c>
      <c r="C1526" s="62">
        <f>VLOOKUP(B1526,合并仓明细!$D$2:$F$74,3,0)</f>
        <v>49</v>
      </c>
      <c r="D1526" t="s">
        <v>393</v>
      </c>
      <c r="E1526" s="43" t="s">
        <v>277</v>
      </c>
      <c r="F1526" t="s">
        <v>67</v>
      </c>
      <c r="G1526" s="42">
        <v>103.38</v>
      </c>
      <c r="H1526">
        <v>0.20100999999999999</v>
      </c>
      <c r="I1526" s="38">
        <f>IF(H1526&gt;30,QUOTIENT(H1526,30)*VLOOKUP(D1526,'报价表-配送'!$B$32:$I$37,8,0),0)+IF(AND(MOD(H1526,30)&gt;18,MOD(H1526,30)&lt;=30),1,0)*VLOOKUP(D1526,'报价表-配送'!$B$32:$I$37,8,0)</f>
        <v>0</v>
      </c>
      <c r="J1526" s="38">
        <f>IF(AND(MOD(H1526,30)&gt;8,MOD(H1526,30)&lt;=18),1*VLOOKUP(D1526,'报价表-配送'!$B$32:$I$37,7,0),0)</f>
        <v>0</v>
      </c>
      <c r="K1526" s="38">
        <f>IF(AND(MOD(H1526,30)&lt;=8,MOD(H1526,30)&gt;0),1,0)*VLOOKUP(D1526,'报价表-配送'!$B$32:$I$37,6,0)</f>
        <v>0</v>
      </c>
      <c r="L1526" s="33"/>
      <c r="M1526" s="1"/>
      <c r="N1526" s="38">
        <f t="shared" si="23"/>
        <v>0</v>
      </c>
    </row>
    <row r="1527" spans="1:14" x14ac:dyDescent="0.25">
      <c r="A1527" t="s">
        <v>81</v>
      </c>
      <c r="B1527" s="44" t="s">
        <v>162</v>
      </c>
      <c r="C1527" s="62">
        <f>VLOOKUP(B1527,合并仓明细!$D$2:$F$74,3,0)</f>
        <v>49</v>
      </c>
      <c r="D1527" t="s">
        <v>393</v>
      </c>
      <c r="E1527" s="43" t="s">
        <v>277</v>
      </c>
      <c r="F1527" t="s">
        <v>66</v>
      </c>
      <c r="G1527" s="42">
        <v>97.629999999999981</v>
      </c>
      <c r="H1527"/>
      <c r="K1527" s="1"/>
      <c r="L1527" s="33"/>
      <c r="M1527" s="1"/>
      <c r="N1527" s="38">
        <f t="shared" si="23"/>
        <v>0</v>
      </c>
    </row>
    <row r="1528" spans="1:14" x14ac:dyDescent="0.25">
      <c r="A1528" t="s">
        <v>81</v>
      </c>
      <c r="B1528" s="44" t="s">
        <v>162</v>
      </c>
      <c r="C1528" s="62">
        <f>VLOOKUP(B1528,合并仓明细!$D$2:$F$74,3,0)</f>
        <v>49</v>
      </c>
      <c r="D1528" t="s">
        <v>393</v>
      </c>
      <c r="E1528" s="43" t="s">
        <v>283</v>
      </c>
      <c r="F1528" t="s">
        <v>67</v>
      </c>
      <c r="G1528" s="42">
        <v>1166.57</v>
      </c>
      <c r="H1528">
        <v>1.3480399999999999</v>
      </c>
      <c r="I1528" s="38">
        <f>IF(H1528&gt;30,QUOTIENT(H1528,30)*VLOOKUP(D1528,'报价表-配送'!$B$32:$I$37,8,0),0)+IF(AND(MOD(H1528,30)&gt;18,MOD(H1528,30)&lt;=30),1,0)*VLOOKUP(D1528,'报价表-配送'!$B$32:$I$37,8,0)</f>
        <v>0</v>
      </c>
      <c r="J1528" s="38">
        <f>IF(AND(MOD(H1528,30)&gt;8,MOD(H1528,30)&lt;=18),1*VLOOKUP(D1528,'报价表-配送'!$B$32:$I$37,7,0),0)</f>
        <v>0</v>
      </c>
      <c r="K1528" s="38">
        <f>IF(AND(MOD(H1528,30)&lt;=8,MOD(H1528,30)&gt;0),1,0)*VLOOKUP(D1528,'报价表-配送'!$B$32:$I$37,6,0)</f>
        <v>0</v>
      </c>
      <c r="L1528" s="33"/>
      <c r="M1528" s="1"/>
      <c r="N1528" s="38">
        <f t="shared" si="23"/>
        <v>0</v>
      </c>
    </row>
    <row r="1529" spans="1:14" x14ac:dyDescent="0.25">
      <c r="A1529" t="s">
        <v>81</v>
      </c>
      <c r="B1529" s="44" t="s">
        <v>162</v>
      </c>
      <c r="C1529" s="62">
        <f>VLOOKUP(B1529,合并仓明细!$D$2:$F$74,3,0)</f>
        <v>49</v>
      </c>
      <c r="D1529" t="s">
        <v>393</v>
      </c>
      <c r="E1529" s="43" t="s">
        <v>283</v>
      </c>
      <c r="F1529" t="s">
        <v>66</v>
      </c>
      <c r="G1529" s="42">
        <v>181.47000000000003</v>
      </c>
      <c r="H1529"/>
      <c r="K1529" s="1"/>
      <c r="L1529" s="33"/>
      <c r="M1529" s="1"/>
      <c r="N1529" s="38">
        <f t="shared" si="23"/>
        <v>0</v>
      </c>
    </row>
    <row r="1530" spans="1:14" x14ac:dyDescent="0.25">
      <c r="A1530" t="s">
        <v>81</v>
      </c>
      <c r="B1530" s="44" t="s">
        <v>162</v>
      </c>
      <c r="C1530" s="62">
        <f>VLOOKUP(B1530,合并仓明细!$D$2:$F$74,3,0)</f>
        <v>49</v>
      </c>
      <c r="D1530" t="s">
        <v>393</v>
      </c>
      <c r="E1530" s="43" t="s">
        <v>378</v>
      </c>
      <c r="F1530" t="s">
        <v>68</v>
      </c>
      <c r="G1530" s="42">
        <v>38.31</v>
      </c>
      <c r="H1530">
        <v>0.69396999999999998</v>
      </c>
      <c r="I1530" s="46">
        <f>ROUNDUP(H1530/30,0)*VLOOKUP(D1530,'报价表-配送'!$B$32:$I$37,8,0)</f>
        <v>0</v>
      </c>
      <c r="K1530" s="1"/>
      <c r="L1530" s="33"/>
      <c r="M1530" s="1"/>
      <c r="N1530" s="38">
        <f t="shared" si="23"/>
        <v>0</v>
      </c>
    </row>
    <row r="1531" spans="1:14" x14ac:dyDescent="0.25">
      <c r="A1531" t="s">
        <v>81</v>
      </c>
      <c r="B1531" s="44" t="s">
        <v>162</v>
      </c>
      <c r="C1531" s="62">
        <f>VLOOKUP(B1531,合并仓明细!$D$2:$F$74,3,0)</f>
        <v>49</v>
      </c>
      <c r="D1531" t="s">
        <v>393</v>
      </c>
      <c r="E1531" s="43" t="s">
        <v>378</v>
      </c>
      <c r="F1531" t="s">
        <v>67</v>
      </c>
      <c r="G1531" s="42">
        <v>529.19000000000005</v>
      </c>
      <c r="H1531"/>
      <c r="I1531" s="46"/>
      <c r="K1531" s="1"/>
      <c r="L1531" s="33"/>
      <c r="M1531" s="1"/>
      <c r="N1531" s="38">
        <f t="shared" si="23"/>
        <v>0</v>
      </c>
    </row>
    <row r="1532" spans="1:14" x14ac:dyDescent="0.25">
      <c r="A1532" t="s">
        <v>81</v>
      </c>
      <c r="B1532" s="44" t="s">
        <v>162</v>
      </c>
      <c r="C1532" s="62">
        <f>VLOOKUP(B1532,合并仓明细!$D$2:$F$74,3,0)</f>
        <v>49</v>
      </c>
      <c r="D1532" t="s">
        <v>393</v>
      </c>
      <c r="E1532" s="43" t="s">
        <v>378</v>
      </c>
      <c r="F1532" t="s">
        <v>66</v>
      </c>
      <c r="G1532" s="42">
        <v>126.47000000000001</v>
      </c>
      <c r="H1532"/>
      <c r="K1532" s="1"/>
      <c r="L1532" s="33"/>
      <c r="M1532" s="1"/>
      <c r="N1532" s="38">
        <f t="shared" si="23"/>
        <v>0</v>
      </c>
    </row>
    <row r="1533" spans="1:14" x14ac:dyDescent="0.25">
      <c r="A1533" t="s">
        <v>81</v>
      </c>
      <c r="B1533" s="44" t="s">
        <v>162</v>
      </c>
      <c r="C1533" s="62">
        <f>VLOOKUP(B1533,合并仓明细!$D$2:$F$74,3,0)</f>
        <v>49</v>
      </c>
      <c r="D1533" t="s">
        <v>393</v>
      </c>
      <c r="E1533" s="43" t="s">
        <v>288</v>
      </c>
      <c r="F1533" t="s">
        <v>66</v>
      </c>
      <c r="G1533" s="42">
        <v>63.11</v>
      </c>
      <c r="H1533">
        <v>6.3109999999999999E-2</v>
      </c>
      <c r="K1533" s="1"/>
      <c r="L1533" s="37">
        <f>IF(H1533&gt;30,QUOTIENT(H1533,30)*VLOOKUP(D1533,'报价表-配送'!$B$32:$I$37,8,0),0)+IF(AND(MOD(H1533,30)&gt;18,MOD(H1533,30)&lt;=30),1,0)*VLOOKUP(D1533,'报价表-配送'!$B$32:$I$37,8,0)+IF(AND(MOD(H1533,30)&gt;8,MOD(H1533,30)&lt;=18),1*VLOOKUP(D1533,'报价表-配送'!$B$32:$I$37,7,0),0)+IF(AND(MOD(H1533,30)&lt;=8,MOD(H1533,30)&gt;2.5),1,0)*VLOOKUP(D1533,'报价表-配送'!$B$32:$I$37,6,0)+IF(AND(MOD(H1533,30)&lt;=2.5,MOD(H1533,30)&gt;=1.5),1,0)*VLOOKUP(D1533,'报价表-配送'!$B$32:$I$37,5,0)</f>
        <v>0</v>
      </c>
      <c r="M1533" s="39">
        <f>IF(AND(MOD(H1533,30)&lt;1.5,MOD(H1533,30)&gt;=0.5),H1533,0)*VLOOKUP(D1533,'报价表-配送'!$B$32:$I$37,4,0)*1000+IF(AND(MOD(H1533,30)&lt;0.5,MOD(H1533,30)&gt;=0.02),H1533,0)*VLOOKUP(D1533,'报价表-配送'!$B$32:$I$37,3,0)*1000+IF(AND(MOD(H1533,30)&lt;0.02),H1533,0)*VLOOKUP(D1533,'报价表-配送'!$B$32:$I$37,2,0)*1000</f>
        <v>0</v>
      </c>
      <c r="N1533" s="38">
        <f t="shared" si="23"/>
        <v>0</v>
      </c>
    </row>
    <row r="1534" spans="1:14" x14ac:dyDescent="0.25">
      <c r="A1534" t="s">
        <v>81</v>
      </c>
      <c r="B1534" s="44" t="s">
        <v>162</v>
      </c>
      <c r="C1534" s="62">
        <f>VLOOKUP(B1534,合并仓明细!$D$2:$F$74,3,0)</f>
        <v>49</v>
      </c>
      <c r="D1534" t="s">
        <v>393</v>
      </c>
      <c r="E1534" s="43" t="s">
        <v>247</v>
      </c>
      <c r="F1534" t="s">
        <v>66</v>
      </c>
      <c r="G1534" s="42">
        <v>54.18</v>
      </c>
      <c r="H1534">
        <v>5.4179999999999999E-2</v>
      </c>
      <c r="I1534" s="46"/>
      <c r="K1534" s="1"/>
      <c r="L1534" s="37">
        <f>IF(H1534&gt;30,QUOTIENT(H1534,30)*VLOOKUP(D1534,'报价表-配送'!$B$32:$I$37,8,0),0)+IF(AND(MOD(H1534,30)&gt;18,MOD(H1534,30)&lt;=30),1,0)*VLOOKUP(D1534,'报价表-配送'!$B$32:$I$37,8,0)+IF(AND(MOD(H1534,30)&gt;8,MOD(H1534,30)&lt;=18),1*VLOOKUP(D1534,'报价表-配送'!$B$32:$I$37,7,0),0)+IF(AND(MOD(H1534,30)&lt;=8,MOD(H1534,30)&gt;2.5),1,0)*VLOOKUP(D1534,'报价表-配送'!$B$32:$I$37,6,0)+IF(AND(MOD(H1534,30)&lt;=2.5,MOD(H1534,30)&gt;=1.5),1,0)*VLOOKUP(D1534,'报价表-配送'!$B$32:$I$37,5,0)</f>
        <v>0</v>
      </c>
      <c r="M1534" s="39">
        <f>IF(AND(MOD(H1534,30)&lt;1.5,MOD(H1534,30)&gt;=0.5),H1534,0)*VLOOKUP(D1534,'报价表-配送'!$B$32:$I$37,4,0)*1000+IF(AND(MOD(H1534,30)&lt;0.5,MOD(H1534,30)&gt;=0.02),H1534,0)*VLOOKUP(D1534,'报价表-配送'!$B$32:$I$37,3,0)*1000+IF(AND(MOD(H1534,30)&lt;0.02),H1534,0)*VLOOKUP(D1534,'报价表-配送'!$B$32:$I$37,2,0)*1000</f>
        <v>0</v>
      </c>
      <c r="N1534" s="38">
        <f t="shared" si="23"/>
        <v>0</v>
      </c>
    </row>
    <row r="1535" spans="1:14" x14ac:dyDescent="0.25">
      <c r="A1535" t="s">
        <v>81</v>
      </c>
      <c r="B1535" s="44" t="s">
        <v>162</v>
      </c>
      <c r="C1535" s="62">
        <f>VLOOKUP(B1535,合并仓明细!$D$2:$F$74,3,0)</f>
        <v>49</v>
      </c>
      <c r="D1535" t="s">
        <v>393</v>
      </c>
      <c r="E1535" s="43" t="s">
        <v>349</v>
      </c>
      <c r="F1535" t="s">
        <v>66</v>
      </c>
      <c r="G1535" s="42">
        <v>114.4</v>
      </c>
      <c r="H1535">
        <v>0.1144</v>
      </c>
      <c r="K1535" s="1"/>
      <c r="L1535" s="37">
        <f>IF(H1535&gt;30,QUOTIENT(H1535,30)*VLOOKUP(D1535,'报价表-配送'!$B$32:$I$37,8,0),0)+IF(AND(MOD(H1535,30)&gt;18,MOD(H1535,30)&lt;=30),1,0)*VLOOKUP(D1535,'报价表-配送'!$B$32:$I$37,8,0)+IF(AND(MOD(H1535,30)&gt;8,MOD(H1535,30)&lt;=18),1*VLOOKUP(D1535,'报价表-配送'!$B$32:$I$37,7,0),0)+IF(AND(MOD(H1535,30)&lt;=8,MOD(H1535,30)&gt;2.5),1,0)*VLOOKUP(D1535,'报价表-配送'!$B$32:$I$37,6,0)+IF(AND(MOD(H1535,30)&lt;=2.5,MOD(H1535,30)&gt;=1.5),1,0)*VLOOKUP(D1535,'报价表-配送'!$B$32:$I$37,5,0)</f>
        <v>0</v>
      </c>
      <c r="M1535" s="39">
        <f>IF(AND(MOD(H1535,30)&lt;1.5,MOD(H1535,30)&gt;=0.5),H1535,0)*VLOOKUP(D1535,'报价表-配送'!$B$32:$I$37,4,0)*1000+IF(AND(MOD(H1535,30)&lt;0.5,MOD(H1535,30)&gt;=0.02),H1535,0)*VLOOKUP(D1535,'报价表-配送'!$B$32:$I$37,3,0)*1000+IF(AND(MOD(H1535,30)&lt;0.02),H1535,0)*VLOOKUP(D1535,'报价表-配送'!$B$32:$I$37,2,0)*1000</f>
        <v>0</v>
      </c>
      <c r="N1535" s="38">
        <f t="shared" si="23"/>
        <v>0</v>
      </c>
    </row>
    <row r="1536" spans="1:14" x14ac:dyDescent="0.25">
      <c r="A1536" t="s">
        <v>81</v>
      </c>
      <c r="B1536" s="44" t="s">
        <v>162</v>
      </c>
      <c r="C1536" s="62">
        <f>VLOOKUP(B1536,合并仓明细!$D$2:$F$74,3,0)</f>
        <v>49</v>
      </c>
      <c r="D1536" t="s">
        <v>393</v>
      </c>
      <c r="E1536" s="43" t="s">
        <v>290</v>
      </c>
      <c r="F1536" t="s">
        <v>66</v>
      </c>
      <c r="G1536" s="42">
        <v>26.4</v>
      </c>
      <c r="H1536">
        <v>2.64E-2</v>
      </c>
      <c r="K1536" s="1"/>
      <c r="L1536" s="37">
        <f>IF(H1536&gt;30,QUOTIENT(H1536,30)*VLOOKUP(D1536,'报价表-配送'!$B$32:$I$37,8,0),0)+IF(AND(MOD(H1536,30)&gt;18,MOD(H1536,30)&lt;=30),1,0)*VLOOKUP(D1536,'报价表-配送'!$B$32:$I$37,8,0)+IF(AND(MOD(H1536,30)&gt;8,MOD(H1536,30)&lt;=18),1*VLOOKUP(D1536,'报价表-配送'!$B$32:$I$37,7,0),0)+IF(AND(MOD(H1536,30)&lt;=8,MOD(H1536,30)&gt;2.5),1,0)*VLOOKUP(D1536,'报价表-配送'!$B$32:$I$37,6,0)+IF(AND(MOD(H1536,30)&lt;=2.5,MOD(H1536,30)&gt;=1.5),1,0)*VLOOKUP(D1536,'报价表-配送'!$B$32:$I$37,5,0)</f>
        <v>0</v>
      </c>
      <c r="M1536" s="39">
        <f>IF(AND(MOD(H1536,30)&lt;1.5,MOD(H1536,30)&gt;=0.5),H1536,0)*VLOOKUP(D1536,'报价表-配送'!$B$32:$I$37,4,0)*1000+IF(AND(MOD(H1536,30)&lt;0.5,MOD(H1536,30)&gt;=0.02),H1536,0)*VLOOKUP(D1536,'报价表-配送'!$B$32:$I$37,3,0)*1000+IF(AND(MOD(H1536,30)&lt;0.02),H1536,0)*VLOOKUP(D1536,'报价表-配送'!$B$32:$I$37,2,0)*1000</f>
        <v>0</v>
      </c>
      <c r="N1536" s="38">
        <f t="shared" si="23"/>
        <v>0</v>
      </c>
    </row>
    <row r="1537" spans="1:14" x14ac:dyDescent="0.25">
      <c r="A1537" t="s">
        <v>81</v>
      </c>
      <c r="B1537" s="44" t="s">
        <v>162</v>
      </c>
      <c r="C1537" s="62">
        <f>VLOOKUP(B1537,合并仓明细!$D$2:$F$74,3,0)</f>
        <v>49</v>
      </c>
      <c r="D1537" t="s">
        <v>393</v>
      </c>
      <c r="E1537" s="43" t="s">
        <v>248</v>
      </c>
      <c r="F1537" t="s">
        <v>66</v>
      </c>
      <c r="G1537" s="42">
        <v>10.63</v>
      </c>
      <c r="H1537">
        <v>1.0630000000000001E-2</v>
      </c>
      <c r="I1537" s="46"/>
      <c r="K1537" s="1"/>
      <c r="L1537" s="37">
        <f>IF(H1537&gt;30,QUOTIENT(H1537,30)*VLOOKUP(D1537,'报价表-配送'!$B$32:$I$37,8,0),0)+IF(AND(MOD(H1537,30)&gt;18,MOD(H1537,30)&lt;=30),1,0)*VLOOKUP(D1537,'报价表-配送'!$B$32:$I$37,8,0)+IF(AND(MOD(H1537,30)&gt;8,MOD(H1537,30)&lt;=18),1*VLOOKUP(D1537,'报价表-配送'!$B$32:$I$37,7,0),0)+IF(AND(MOD(H1537,30)&lt;=8,MOD(H1537,30)&gt;2.5),1,0)*VLOOKUP(D1537,'报价表-配送'!$B$32:$I$37,6,0)+IF(AND(MOD(H1537,30)&lt;=2.5,MOD(H1537,30)&gt;=1.5),1,0)*VLOOKUP(D1537,'报价表-配送'!$B$32:$I$37,5,0)</f>
        <v>0</v>
      </c>
      <c r="M1537" s="39">
        <f>IF(AND(MOD(H1537,30)&lt;1.5,MOD(H1537,30)&gt;=0.5),H1537,0)*VLOOKUP(D1537,'报价表-配送'!$B$32:$I$37,4,0)*1000+IF(AND(MOD(H1537,30)&lt;0.5,MOD(H1537,30)&gt;=0.02),H1537,0)*VLOOKUP(D1537,'报价表-配送'!$B$32:$I$37,3,0)*1000+IF(AND(MOD(H1537,30)&lt;0.02),H1537,0)*VLOOKUP(D1537,'报价表-配送'!$B$32:$I$37,2,0)*1000</f>
        <v>0</v>
      </c>
      <c r="N1537" s="38">
        <f t="shared" si="23"/>
        <v>0</v>
      </c>
    </row>
    <row r="1538" spans="1:14" x14ac:dyDescent="0.25">
      <c r="A1538" t="s">
        <v>81</v>
      </c>
      <c r="B1538" s="44" t="s">
        <v>162</v>
      </c>
      <c r="C1538" s="62">
        <f>VLOOKUP(B1538,合并仓明细!$D$2:$F$74,3,0)</f>
        <v>49</v>
      </c>
      <c r="D1538" t="s">
        <v>393</v>
      </c>
      <c r="E1538" s="43" t="s">
        <v>341</v>
      </c>
      <c r="F1538" t="s">
        <v>66</v>
      </c>
      <c r="G1538" s="42">
        <v>67.580000000000013</v>
      </c>
      <c r="H1538">
        <v>6.7580000000000015E-2</v>
      </c>
      <c r="K1538" s="1"/>
      <c r="L1538" s="37">
        <f>IF(H1538&gt;30,QUOTIENT(H1538,30)*VLOOKUP(D1538,'报价表-配送'!$B$32:$I$37,8,0),0)+IF(AND(MOD(H1538,30)&gt;18,MOD(H1538,30)&lt;=30),1,0)*VLOOKUP(D1538,'报价表-配送'!$B$32:$I$37,8,0)+IF(AND(MOD(H1538,30)&gt;8,MOD(H1538,30)&lt;=18),1*VLOOKUP(D1538,'报价表-配送'!$B$32:$I$37,7,0),0)+IF(AND(MOD(H1538,30)&lt;=8,MOD(H1538,30)&gt;2.5),1,0)*VLOOKUP(D1538,'报价表-配送'!$B$32:$I$37,6,0)+IF(AND(MOD(H1538,30)&lt;=2.5,MOD(H1538,30)&gt;=1.5),1,0)*VLOOKUP(D1538,'报价表-配送'!$B$32:$I$37,5,0)</f>
        <v>0</v>
      </c>
      <c r="M1538" s="39">
        <f>IF(AND(MOD(H1538,30)&lt;1.5,MOD(H1538,30)&gt;=0.5),H1538,0)*VLOOKUP(D1538,'报价表-配送'!$B$32:$I$37,4,0)*1000+IF(AND(MOD(H1538,30)&lt;0.5,MOD(H1538,30)&gt;=0.02),H1538,0)*VLOOKUP(D1538,'报价表-配送'!$B$32:$I$37,3,0)*1000+IF(AND(MOD(H1538,30)&lt;0.02),H1538,0)*VLOOKUP(D1538,'报价表-配送'!$B$32:$I$37,2,0)*1000</f>
        <v>0</v>
      </c>
      <c r="N1538" s="38">
        <f t="shared" si="23"/>
        <v>0</v>
      </c>
    </row>
    <row r="1539" spans="1:14" x14ac:dyDescent="0.25">
      <c r="A1539" t="s">
        <v>81</v>
      </c>
      <c r="B1539" s="44" t="s">
        <v>162</v>
      </c>
      <c r="C1539" s="62">
        <f>VLOOKUP(B1539,合并仓明细!$D$2:$F$74,3,0)</f>
        <v>49</v>
      </c>
      <c r="D1539" t="s">
        <v>393</v>
      </c>
      <c r="E1539" s="43" t="s">
        <v>342</v>
      </c>
      <c r="F1539" t="s">
        <v>67</v>
      </c>
      <c r="G1539" s="42">
        <v>0</v>
      </c>
      <c r="H1539">
        <v>3.143E-2</v>
      </c>
      <c r="I1539" s="38">
        <f>IF(H1539&gt;30,QUOTIENT(H1539,30)*VLOOKUP(D1539,'报价表-配送'!$B$32:$I$37,8,0),0)+IF(AND(MOD(H1539,30)&gt;18,MOD(H1539,30)&lt;=30),1,0)*VLOOKUP(D1539,'报价表-配送'!$B$32:$I$37,8,0)</f>
        <v>0</v>
      </c>
      <c r="J1539" s="38">
        <f>IF(AND(MOD(H1539,30)&gt;8,MOD(H1539,30)&lt;=18),1*VLOOKUP(D1539,'报价表-配送'!$B$32:$I$37,7,0),0)</f>
        <v>0</v>
      </c>
      <c r="K1539" s="38">
        <f>IF(AND(MOD(H1539,30)&lt;=8,MOD(H1539,30)&gt;0),1,0)*VLOOKUP(D1539,'报价表-配送'!$B$32:$I$37,6,0)</f>
        <v>0</v>
      </c>
      <c r="L1539" s="33"/>
      <c r="M1539" s="1"/>
      <c r="N1539" s="38">
        <f t="shared" si="23"/>
        <v>0</v>
      </c>
    </row>
    <row r="1540" spans="1:14" x14ac:dyDescent="0.25">
      <c r="A1540" t="s">
        <v>81</v>
      </c>
      <c r="B1540" s="44" t="s">
        <v>162</v>
      </c>
      <c r="C1540" s="62">
        <f>VLOOKUP(B1540,合并仓明细!$D$2:$F$74,3,0)</f>
        <v>49</v>
      </c>
      <c r="D1540" t="s">
        <v>393</v>
      </c>
      <c r="E1540" s="43" t="s">
        <v>342</v>
      </c>
      <c r="F1540" t="s">
        <v>66</v>
      </c>
      <c r="G1540" s="42">
        <v>31.43</v>
      </c>
      <c r="H1540"/>
      <c r="K1540" s="1"/>
      <c r="L1540" s="33"/>
      <c r="M1540" s="1"/>
      <c r="N1540" s="38">
        <f t="shared" si="23"/>
        <v>0</v>
      </c>
    </row>
    <row r="1541" spans="1:14" x14ac:dyDescent="0.25">
      <c r="A1541" t="s">
        <v>81</v>
      </c>
      <c r="B1541" s="51" t="s">
        <v>162</v>
      </c>
      <c r="C1541" s="62">
        <f>VLOOKUP(B1541,合并仓明细!$D$2:$F$74,3,0)</f>
        <v>49</v>
      </c>
      <c r="D1541" t="s">
        <v>393</v>
      </c>
      <c r="E1541" s="43" t="s">
        <v>370</v>
      </c>
      <c r="F1541" t="s">
        <v>67</v>
      </c>
      <c r="G1541" s="42">
        <v>160.66</v>
      </c>
      <c r="H1541">
        <v>0.19159999999999999</v>
      </c>
      <c r="I1541" s="38">
        <f>IF(H1541&gt;30,QUOTIENT(H1541,30)*VLOOKUP(D1541,'报价表-配送'!$B$32:$I$37,8,0),0)+IF(AND(MOD(H1541,30)&gt;18,MOD(H1541,30)&lt;=30),1,0)*VLOOKUP(D1541,'报价表-配送'!$B$32:$I$37,8,0)</f>
        <v>0</v>
      </c>
      <c r="J1541" s="38">
        <f>IF(AND(MOD(H1541,30)&gt;8,MOD(H1541,30)&lt;=18),1*VLOOKUP(D1541,'报价表-配送'!$B$32:$I$37,7,0),0)</f>
        <v>0</v>
      </c>
      <c r="K1541" s="38">
        <f>IF(AND(MOD(H1541,30)&lt;=8,MOD(H1541,30)&gt;0),1,0)*VLOOKUP(D1541,'报价表-配送'!$B$32:$I$37,6,0)</f>
        <v>0</v>
      </c>
      <c r="L1541" s="33"/>
      <c r="M1541" s="1"/>
      <c r="N1541" s="38">
        <f t="shared" si="23"/>
        <v>0</v>
      </c>
    </row>
    <row r="1542" spans="1:14" x14ac:dyDescent="0.25">
      <c r="A1542" t="s">
        <v>81</v>
      </c>
      <c r="B1542" s="44" t="s">
        <v>162</v>
      </c>
      <c r="C1542" s="62">
        <f>VLOOKUP(B1542,合并仓明细!$D$2:$F$74,3,0)</f>
        <v>49</v>
      </c>
      <c r="D1542" t="s">
        <v>393</v>
      </c>
      <c r="E1542" s="43" t="s">
        <v>370</v>
      </c>
      <c r="F1542" t="s">
        <v>66</v>
      </c>
      <c r="G1542" s="42">
        <v>30.94</v>
      </c>
      <c r="H1542"/>
      <c r="K1542" s="1"/>
      <c r="L1542" s="33"/>
      <c r="M1542" s="1"/>
      <c r="N1542" s="38">
        <f t="shared" si="23"/>
        <v>0</v>
      </c>
    </row>
    <row r="1543" spans="1:14" x14ac:dyDescent="0.25">
      <c r="A1543" t="s">
        <v>81</v>
      </c>
      <c r="B1543" s="44" t="s">
        <v>162</v>
      </c>
      <c r="C1543" s="62">
        <f>VLOOKUP(B1543,合并仓明细!$D$2:$F$74,3,0)</f>
        <v>49</v>
      </c>
      <c r="D1543" t="s">
        <v>393</v>
      </c>
      <c r="E1543" s="43" t="s">
        <v>295</v>
      </c>
      <c r="F1543" t="s">
        <v>66</v>
      </c>
      <c r="G1543" s="42">
        <v>4.3</v>
      </c>
      <c r="H1543">
        <v>4.3E-3</v>
      </c>
      <c r="K1543" s="1"/>
      <c r="L1543" s="37">
        <f>IF(H1543&gt;30,QUOTIENT(H1543,30)*VLOOKUP(D1543,'报价表-配送'!$B$32:$I$37,8,0),0)+IF(AND(MOD(H1543,30)&gt;18,MOD(H1543,30)&lt;=30),1,0)*VLOOKUP(D1543,'报价表-配送'!$B$32:$I$37,8,0)+IF(AND(MOD(H1543,30)&gt;8,MOD(H1543,30)&lt;=18),1*VLOOKUP(D1543,'报价表-配送'!$B$32:$I$37,7,0),0)+IF(AND(MOD(H1543,30)&lt;=8,MOD(H1543,30)&gt;2.5),1,0)*VLOOKUP(D1543,'报价表-配送'!$B$32:$I$37,6,0)+IF(AND(MOD(H1543,30)&lt;=2.5,MOD(H1543,30)&gt;=1.5),1,0)*VLOOKUP(D1543,'报价表-配送'!$B$32:$I$37,5,0)</f>
        <v>0</v>
      </c>
      <c r="M1543" s="39">
        <f>IF(AND(MOD(H1543,30)&lt;1.5,MOD(H1543,30)&gt;=0.5),H1543,0)*VLOOKUP(D1543,'报价表-配送'!$B$32:$I$37,4,0)*1000+IF(AND(MOD(H1543,30)&lt;0.5,MOD(H1543,30)&gt;=0.02),H1543,0)*VLOOKUP(D1543,'报价表-配送'!$B$32:$I$37,3,0)*1000+IF(AND(MOD(H1543,30)&lt;0.02),H1543,0)*VLOOKUP(D1543,'报价表-配送'!$B$32:$I$37,2,0)*1000</f>
        <v>0</v>
      </c>
      <c r="N1543" s="38">
        <f t="shared" si="23"/>
        <v>0</v>
      </c>
    </row>
    <row r="1544" spans="1:14" x14ac:dyDescent="0.25">
      <c r="A1544" t="s">
        <v>81</v>
      </c>
      <c r="B1544" s="44" t="s">
        <v>162</v>
      </c>
      <c r="C1544" s="62">
        <f>VLOOKUP(B1544,合并仓明细!$D$2:$F$74,3,0)</f>
        <v>49</v>
      </c>
      <c r="D1544" t="s">
        <v>393</v>
      </c>
      <c r="E1544" s="43" t="s">
        <v>296</v>
      </c>
      <c r="F1544" t="s">
        <v>66</v>
      </c>
      <c r="G1544" s="42">
        <v>20.840000000000003</v>
      </c>
      <c r="H1544">
        <v>2.0840000000000004E-2</v>
      </c>
      <c r="K1544" s="1"/>
      <c r="L1544" s="37">
        <f>IF(H1544&gt;30,QUOTIENT(H1544,30)*VLOOKUP(D1544,'报价表-配送'!$B$32:$I$37,8,0),0)+IF(AND(MOD(H1544,30)&gt;18,MOD(H1544,30)&lt;=30),1,0)*VLOOKUP(D1544,'报价表-配送'!$B$32:$I$37,8,0)+IF(AND(MOD(H1544,30)&gt;8,MOD(H1544,30)&lt;=18),1*VLOOKUP(D1544,'报价表-配送'!$B$32:$I$37,7,0),0)+IF(AND(MOD(H1544,30)&lt;=8,MOD(H1544,30)&gt;2.5),1,0)*VLOOKUP(D1544,'报价表-配送'!$B$32:$I$37,6,0)+IF(AND(MOD(H1544,30)&lt;=2.5,MOD(H1544,30)&gt;=1.5),1,0)*VLOOKUP(D1544,'报价表-配送'!$B$32:$I$37,5,0)</f>
        <v>0</v>
      </c>
      <c r="M1544" s="39">
        <f>IF(AND(MOD(H1544,30)&lt;1.5,MOD(H1544,30)&gt;=0.5),H1544,0)*VLOOKUP(D1544,'报价表-配送'!$B$32:$I$37,4,0)*1000+IF(AND(MOD(H1544,30)&lt;0.5,MOD(H1544,30)&gt;=0.02),H1544,0)*VLOOKUP(D1544,'报价表-配送'!$B$32:$I$37,3,0)*1000+IF(AND(MOD(H1544,30)&lt;0.02),H1544,0)*VLOOKUP(D1544,'报价表-配送'!$B$32:$I$37,2,0)*1000</f>
        <v>0</v>
      </c>
      <c r="N1544" s="38">
        <f t="shared" si="23"/>
        <v>0</v>
      </c>
    </row>
    <row r="1545" spans="1:14" x14ac:dyDescent="0.25">
      <c r="A1545" t="s">
        <v>81</v>
      </c>
      <c r="B1545" s="44" t="s">
        <v>162</v>
      </c>
      <c r="C1545" s="62">
        <f>VLOOKUP(B1545,合并仓明细!$D$2:$F$74,3,0)</f>
        <v>49</v>
      </c>
      <c r="D1545" t="s">
        <v>393</v>
      </c>
      <c r="E1545" s="43" t="s">
        <v>326</v>
      </c>
      <c r="F1545" t="s">
        <v>66</v>
      </c>
      <c r="G1545" s="42">
        <v>7.8</v>
      </c>
      <c r="H1545">
        <v>7.7999999999999996E-3</v>
      </c>
      <c r="K1545" s="1"/>
      <c r="L1545" s="37">
        <f>IF(H1545&gt;30,QUOTIENT(H1545,30)*VLOOKUP(D1545,'报价表-配送'!$B$32:$I$37,8,0),0)+IF(AND(MOD(H1545,30)&gt;18,MOD(H1545,30)&lt;=30),1,0)*VLOOKUP(D1545,'报价表-配送'!$B$32:$I$37,8,0)+IF(AND(MOD(H1545,30)&gt;8,MOD(H1545,30)&lt;=18),1*VLOOKUP(D1545,'报价表-配送'!$B$32:$I$37,7,0),0)+IF(AND(MOD(H1545,30)&lt;=8,MOD(H1545,30)&gt;2.5),1,0)*VLOOKUP(D1545,'报价表-配送'!$B$32:$I$37,6,0)+IF(AND(MOD(H1545,30)&lt;=2.5,MOD(H1545,30)&gt;=1.5),1,0)*VLOOKUP(D1545,'报价表-配送'!$B$32:$I$37,5,0)</f>
        <v>0</v>
      </c>
      <c r="M1545" s="39">
        <f>IF(AND(MOD(H1545,30)&lt;1.5,MOD(H1545,30)&gt;=0.5),H1545,0)*VLOOKUP(D1545,'报价表-配送'!$B$32:$I$37,4,0)*1000+IF(AND(MOD(H1545,30)&lt;0.5,MOD(H1545,30)&gt;=0.02),H1545,0)*VLOOKUP(D1545,'报价表-配送'!$B$32:$I$37,3,0)*1000+IF(AND(MOD(H1545,30)&lt;0.02),H1545,0)*VLOOKUP(D1545,'报价表-配送'!$B$32:$I$37,2,0)*1000</f>
        <v>0</v>
      </c>
      <c r="N1545" s="38">
        <f t="shared" si="23"/>
        <v>0</v>
      </c>
    </row>
    <row r="1546" spans="1:14" x14ac:dyDescent="0.25">
      <c r="A1546" t="s">
        <v>81</v>
      </c>
      <c r="B1546" s="44" t="s">
        <v>162</v>
      </c>
      <c r="C1546" s="62">
        <f>VLOOKUP(B1546,合并仓明细!$D$2:$F$74,3,0)</f>
        <v>49</v>
      </c>
      <c r="D1546" t="s">
        <v>393</v>
      </c>
      <c r="E1546" s="43" t="s">
        <v>318</v>
      </c>
      <c r="F1546" t="s">
        <v>66</v>
      </c>
      <c r="G1546" s="42">
        <v>20.52</v>
      </c>
      <c r="H1546">
        <v>2.052E-2</v>
      </c>
      <c r="K1546" s="1"/>
      <c r="L1546" s="37">
        <f>IF(H1546&gt;30,QUOTIENT(H1546,30)*VLOOKUP(D1546,'报价表-配送'!$B$32:$I$37,8,0),0)+IF(AND(MOD(H1546,30)&gt;18,MOD(H1546,30)&lt;=30),1,0)*VLOOKUP(D1546,'报价表-配送'!$B$32:$I$37,8,0)+IF(AND(MOD(H1546,30)&gt;8,MOD(H1546,30)&lt;=18),1*VLOOKUP(D1546,'报价表-配送'!$B$32:$I$37,7,0),0)+IF(AND(MOD(H1546,30)&lt;=8,MOD(H1546,30)&gt;2.5),1,0)*VLOOKUP(D1546,'报价表-配送'!$B$32:$I$37,6,0)+IF(AND(MOD(H1546,30)&lt;=2.5,MOD(H1546,30)&gt;=1.5),1,0)*VLOOKUP(D1546,'报价表-配送'!$B$32:$I$37,5,0)</f>
        <v>0</v>
      </c>
      <c r="M1546" s="39">
        <f>IF(AND(MOD(H1546,30)&lt;1.5,MOD(H1546,30)&gt;=0.5),H1546,0)*VLOOKUP(D1546,'报价表-配送'!$B$32:$I$37,4,0)*1000+IF(AND(MOD(H1546,30)&lt;0.5,MOD(H1546,30)&gt;=0.02),H1546,0)*VLOOKUP(D1546,'报价表-配送'!$B$32:$I$37,3,0)*1000+IF(AND(MOD(H1546,30)&lt;0.02),H1546,0)*VLOOKUP(D1546,'报价表-配送'!$B$32:$I$37,2,0)*1000</f>
        <v>0</v>
      </c>
      <c r="N1546" s="38">
        <f t="shared" si="23"/>
        <v>0</v>
      </c>
    </row>
    <row r="1547" spans="1:14" x14ac:dyDescent="0.25">
      <c r="A1547" t="s">
        <v>81</v>
      </c>
      <c r="B1547" s="44" t="s">
        <v>162</v>
      </c>
      <c r="C1547" s="62">
        <f>VLOOKUP(B1547,合并仓明细!$D$2:$F$74,3,0)</f>
        <v>49</v>
      </c>
      <c r="D1547" t="s">
        <v>393</v>
      </c>
      <c r="E1547" s="43" t="s">
        <v>320</v>
      </c>
      <c r="F1547" t="s">
        <v>66</v>
      </c>
      <c r="G1547" s="42">
        <v>47.87</v>
      </c>
      <c r="H1547">
        <v>4.7869999999999996E-2</v>
      </c>
      <c r="K1547" s="1"/>
      <c r="L1547" s="37">
        <f>IF(H1547&gt;30,QUOTIENT(H1547,30)*VLOOKUP(D1547,'报价表-配送'!$B$32:$I$37,8,0),0)+IF(AND(MOD(H1547,30)&gt;18,MOD(H1547,30)&lt;=30),1,0)*VLOOKUP(D1547,'报价表-配送'!$B$32:$I$37,8,0)+IF(AND(MOD(H1547,30)&gt;8,MOD(H1547,30)&lt;=18),1*VLOOKUP(D1547,'报价表-配送'!$B$32:$I$37,7,0),0)+IF(AND(MOD(H1547,30)&lt;=8,MOD(H1547,30)&gt;2.5),1,0)*VLOOKUP(D1547,'报价表-配送'!$B$32:$I$37,6,0)+IF(AND(MOD(H1547,30)&lt;=2.5,MOD(H1547,30)&gt;=1.5),1,0)*VLOOKUP(D1547,'报价表-配送'!$B$32:$I$37,5,0)</f>
        <v>0</v>
      </c>
      <c r="M1547" s="39">
        <f>IF(AND(MOD(H1547,30)&lt;1.5,MOD(H1547,30)&gt;=0.5),H1547,0)*VLOOKUP(D1547,'报价表-配送'!$B$32:$I$37,4,0)*1000+IF(AND(MOD(H1547,30)&lt;0.5,MOD(H1547,30)&gt;=0.02),H1547,0)*VLOOKUP(D1547,'报价表-配送'!$B$32:$I$37,3,0)*1000+IF(AND(MOD(H1547,30)&lt;0.02),H1547,0)*VLOOKUP(D1547,'报价表-配送'!$B$32:$I$37,2,0)*1000</f>
        <v>0</v>
      </c>
      <c r="N1547" s="38">
        <f t="shared" si="23"/>
        <v>0</v>
      </c>
    </row>
    <row r="1548" spans="1:14" x14ac:dyDescent="0.25">
      <c r="A1548" t="s">
        <v>81</v>
      </c>
      <c r="B1548" s="44" t="s">
        <v>163</v>
      </c>
      <c r="C1548" s="62">
        <f>VLOOKUP(B1548,合并仓明细!$D$2:$F$74,3,0)</f>
        <v>115</v>
      </c>
      <c r="D1548" t="s">
        <v>413</v>
      </c>
      <c r="E1548" s="43" t="s">
        <v>260</v>
      </c>
      <c r="F1548" t="s">
        <v>66</v>
      </c>
      <c r="G1548" s="42">
        <v>320</v>
      </c>
      <c r="H1548">
        <v>0.32</v>
      </c>
      <c r="K1548" s="1"/>
      <c r="L1548" s="37">
        <f>IF(H1548&gt;30,QUOTIENT(H1548,30)*VLOOKUP(D1548,'报价表-配送'!$B$32:$I$37,8,0),0)+IF(AND(MOD(H1548,30)&gt;18,MOD(H1548,30)&lt;=30),1,0)*VLOOKUP(D1548,'报价表-配送'!$B$32:$I$37,8,0)+IF(AND(MOD(H1548,30)&gt;8,MOD(H1548,30)&lt;=18),1*VLOOKUP(D1548,'报价表-配送'!$B$32:$I$37,7,0),0)+IF(AND(MOD(H1548,30)&lt;=8,MOD(H1548,30)&gt;2.5),1,0)*VLOOKUP(D1548,'报价表-配送'!$B$32:$I$37,6,0)+IF(AND(MOD(H1548,30)&lt;=2.5,MOD(H1548,30)&gt;=1.5),1,0)*VLOOKUP(D1548,'报价表-配送'!$B$32:$I$37,5,0)</f>
        <v>0</v>
      </c>
      <c r="M1548" s="39">
        <f>IF(AND(MOD(H1548,30)&lt;1.5,MOD(H1548,30)&gt;=0.5),H1548,0)*VLOOKUP(D1548,'报价表-配送'!$B$32:$I$37,4,0)*1000+IF(AND(MOD(H1548,30)&lt;0.5,MOD(H1548,30)&gt;=0.02),H1548,0)*VLOOKUP(D1548,'报价表-配送'!$B$32:$I$37,3,0)*1000+IF(AND(MOD(H1548,30)&lt;0.02),H1548,0)*VLOOKUP(D1548,'报价表-配送'!$B$32:$I$37,2,0)*1000</f>
        <v>0</v>
      </c>
      <c r="N1548" s="38">
        <f t="shared" si="23"/>
        <v>0</v>
      </c>
    </row>
    <row r="1549" spans="1:14" x14ac:dyDescent="0.25">
      <c r="A1549" t="s">
        <v>81</v>
      </c>
      <c r="B1549" s="44" t="s">
        <v>163</v>
      </c>
      <c r="C1549" s="62">
        <f>VLOOKUP(B1549,合并仓明细!$D$2:$F$74,3,0)</f>
        <v>115</v>
      </c>
      <c r="D1549" t="s">
        <v>413</v>
      </c>
      <c r="E1549" s="43" t="s">
        <v>261</v>
      </c>
      <c r="F1549" t="s">
        <v>67</v>
      </c>
      <c r="G1549" s="42">
        <v>838.81</v>
      </c>
      <c r="H1549">
        <v>2.2264899999999996</v>
      </c>
      <c r="I1549" s="38">
        <f>IF(H1549&gt;30,QUOTIENT(H1549,30)*VLOOKUP(D1549,'报价表-配送'!$B$32:$I$37,8,0),0)+IF(AND(MOD(H1549,30)&gt;18,MOD(H1549,30)&lt;=30),1,0)*VLOOKUP(D1549,'报价表-配送'!$B$32:$I$37,8,0)</f>
        <v>0</v>
      </c>
      <c r="J1549" s="38">
        <f>IF(AND(MOD(H1549,30)&gt;8,MOD(H1549,30)&lt;=18),1*VLOOKUP(D1549,'报价表-配送'!$B$32:$I$37,7,0),0)</f>
        <v>0</v>
      </c>
      <c r="K1549" s="38">
        <f>IF(AND(MOD(H1549,30)&lt;=8,MOD(H1549,30)&gt;0),1,0)*VLOOKUP(D1549,'报价表-配送'!$B$32:$I$37,6,0)</f>
        <v>0</v>
      </c>
      <c r="L1549" s="33"/>
      <c r="M1549" s="1"/>
      <c r="N1549" s="38">
        <f t="shared" si="23"/>
        <v>0</v>
      </c>
    </row>
    <row r="1550" spans="1:14" x14ac:dyDescent="0.25">
      <c r="A1550" t="s">
        <v>81</v>
      </c>
      <c r="B1550" s="44" t="s">
        <v>163</v>
      </c>
      <c r="C1550" s="62">
        <f>VLOOKUP(B1550,合并仓明细!$D$2:$F$74,3,0)</f>
        <v>115</v>
      </c>
      <c r="D1550" t="s">
        <v>413</v>
      </c>
      <c r="E1550" s="43" t="s">
        <v>261</v>
      </c>
      <c r="F1550" t="s">
        <v>66</v>
      </c>
      <c r="G1550" s="42">
        <v>1387.68</v>
      </c>
      <c r="H1550"/>
      <c r="K1550" s="1"/>
      <c r="L1550" s="33"/>
      <c r="M1550" s="1"/>
      <c r="N1550" s="38">
        <f t="shared" si="23"/>
        <v>0</v>
      </c>
    </row>
    <row r="1551" spans="1:14" x14ac:dyDescent="0.25">
      <c r="A1551" t="s">
        <v>81</v>
      </c>
      <c r="B1551" s="44" t="s">
        <v>163</v>
      </c>
      <c r="C1551" s="62">
        <f>VLOOKUP(B1551,合并仓明细!$D$2:$F$74,3,0)</f>
        <v>115</v>
      </c>
      <c r="D1551" t="s">
        <v>413</v>
      </c>
      <c r="E1551" s="43" t="s">
        <v>263</v>
      </c>
      <c r="F1551" t="s">
        <v>68</v>
      </c>
      <c r="G1551" s="42">
        <v>8820.6099999999988</v>
      </c>
      <c r="H1551">
        <v>14.273629999999999</v>
      </c>
      <c r="I1551" s="46">
        <f>ROUNDUP(H1551/30,0)*VLOOKUP(D1551,'报价表-配送'!$B$32:$I$37,8,0)</f>
        <v>0</v>
      </c>
      <c r="K1551" s="1"/>
      <c r="L1551" s="33"/>
      <c r="M1551" s="1"/>
      <c r="N1551" s="38">
        <f t="shared" si="23"/>
        <v>0</v>
      </c>
    </row>
    <row r="1552" spans="1:14" x14ac:dyDescent="0.25">
      <c r="A1552" t="s">
        <v>81</v>
      </c>
      <c r="B1552" s="44" t="s">
        <v>163</v>
      </c>
      <c r="C1552" s="62">
        <f>VLOOKUP(B1552,合并仓明细!$D$2:$F$74,3,0)</f>
        <v>115</v>
      </c>
      <c r="D1552" t="s">
        <v>413</v>
      </c>
      <c r="E1552" s="43" t="s">
        <v>263</v>
      </c>
      <c r="F1552" t="s">
        <v>67</v>
      </c>
      <c r="G1552" s="42">
        <v>4113.3100000000004</v>
      </c>
      <c r="H1552"/>
      <c r="K1552" s="1"/>
      <c r="L1552" s="33"/>
      <c r="M1552" s="1"/>
      <c r="N1552" s="38">
        <f t="shared" si="23"/>
        <v>0</v>
      </c>
    </row>
    <row r="1553" spans="1:14" x14ac:dyDescent="0.25">
      <c r="A1553" t="s">
        <v>81</v>
      </c>
      <c r="B1553" s="44" t="s">
        <v>163</v>
      </c>
      <c r="C1553" s="62">
        <f>VLOOKUP(B1553,合并仓明细!$D$2:$F$74,3,0)</f>
        <v>115</v>
      </c>
      <c r="D1553" t="s">
        <v>413</v>
      </c>
      <c r="E1553" s="43" t="s">
        <v>263</v>
      </c>
      <c r="F1553" t="s">
        <v>66</v>
      </c>
      <c r="G1553" s="42">
        <v>1339.7100000000003</v>
      </c>
      <c r="H1553"/>
      <c r="K1553" s="1"/>
      <c r="L1553" s="33"/>
      <c r="M1553" s="1"/>
      <c r="N1553" s="38">
        <f t="shared" si="23"/>
        <v>0</v>
      </c>
    </row>
    <row r="1554" spans="1:14" x14ac:dyDescent="0.25">
      <c r="A1554" t="s">
        <v>81</v>
      </c>
      <c r="B1554" s="44" t="s">
        <v>163</v>
      </c>
      <c r="C1554" s="62">
        <f>VLOOKUP(B1554,合并仓明细!$D$2:$F$74,3,0)</f>
        <v>115</v>
      </c>
      <c r="D1554" t="s">
        <v>413</v>
      </c>
      <c r="E1554" s="43" t="s">
        <v>307</v>
      </c>
      <c r="F1554" t="s">
        <v>67</v>
      </c>
      <c r="G1554" s="42">
        <v>10222.210000000001</v>
      </c>
      <c r="H1554">
        <v>11.078340000000001</v>
      </c>
      <c r="I1554" s="38">
        <f>IF(H1554&gt;30,QUOTIENT(H1554,30)*VLOOKUP(D1554,'报价表-配送'!$B$32:$I$37,8,0),0)+IF(AND(MOD(H1554,30)&gt;18,MOD(H1554,30)&lt;=30),1,0)*VLOOKUP(D1554,'报价表-配送'!$B$32:$I$37,8,0)</f>
        <v>0</v>
      </c>
      <c r="J1554" s="38">
        <f>IF(AND(MOD(H1554,30)&gt;8,MOD(H1554,30)&lt;=18),1*VLOOKUP(D1554,'报价表-配送'!$B$32:$I$37,7,0),0)</f>
        <v>0</v>
      </c>
      <c r="K1554" s="38">
        <f>IF(AND(MOD(H1554,30)&lt;=8,MOD(H1554,30)&gt;0),1,0)*VLOOKUP(D1554,'报价表-配送'!$B$32:$I$37,6,0)</f>
        <v>0</v>
      </c>
      <c r="L1554" s="33"/>
      <c r="M1554" s="1"/>
      <c r="N1554" s="38">
        <f t="shared" si="23"/>
        <v>0</v>
      </c>
    </row>
    <row r="1555" spans="1:14" x14ac:dyDescent="0.25">
      <c r="A1555" t="s">
        <v>81</v>
      </c>
      <c r="B1555" s="44" t="s">
        <v>163</v>
      </c>
      <c r="C1555" s="62">
        <f>VLOOKUP(B1555,合并仓明细!$D$2:$F$74,3,0)</f>
        <v>115</v>
      </c>
      <c r="D1555" t="s">
        <v>413</v>
      </c>
      <c r="E1555" s="43" t="s">
        <v>307</v>
      </c>
      <c r="F1555" t="s">
        <v>66</v>
      </c>
      <c r="G1555" s="42">
        <v>856.12999999999988</v>
      </c>
      <c r="H1555"/>
      <c r="K1555" s="1"/>
      <c r="L1555" s="33"/>
      <c r="M1555" s="1"/>
      <c r="N1555" s="38">
        <f t="shared" si="23"/>
        <v>0</v>
      </c>
    </row>
    <row r="1556" spans="1:14" x14ac:dyDescent="0.25">
      <c r="A1556" t="s">
        <v>81</v>
      </c>
      <c r="B1556" s="44" t="s">
        <v>163</v>
      </c>
      <c r="C1556" s="62">
        <f>VLOOKUP(B1556,合并仓明细!$D$2:$F$74,3,0)</f>
        <v>115</v>
      </c>
      <c r="D1556" t="s">
        <v>413</v>
      </c>
      <c r="E1556" s="43" t="s">
        <v>333</v>
      </c>
      <c r="F1556" t="s">
        <v>67</v>
      </c>
      <c r="G1556" s="42">
        <v>1307.02</v>
      </c>
      <c r="H1556">
        <v>1.40062</v>
      </c>
      <c r="I1556" s="38">
        <f>IF(H1556&gt;30,QUOTIENT(H1556,30)*VLOOKUP(D1556,'报价表-配送'!$B$32:$I$37,8,0),0)+IF(AND(MOD(H1556,30)&gt;18,MOD(H1556,30)&lt;=30),1,0)*VLOOKUP(D1556,'报价表-配送'!$B$32:$I$37,8,0)</f>
        <v>0</v>
      </c>
      <c r="J1556" s="38">
        <f>IF(AND(MOD(H1556,30)&gt;8,MOD(H1556,30)&lt;=18),1*VLOOKUP(D1556,'报价表-配送'!$B$32:$I$37,7,0),0)</f>
        <v>0</v>
      </c>
      <c r="K1556" s="38">
        <f>IF(AND(MOD(H1556,30)&lt;=8,MOD(H1556,30)&gt;0),1,0)*VLOOKUP(D1556,'报价表-配送'!$B$32:$I$37,6,0)</f>
        <v>0</v>
      </c>
      <c r="L1556" s="33"/>
      <c r="M1556" s="1"/>
      <c r="N1556" s="38">
        <f t="shared" si="23"/>
        <v>0</v>
      </c>
    </row>
    <row r="1557" spans="1:14" x14ac:dyDescent="0.25">
      <c r="A1557" t="s">
        <v>81</v>
      </c>
      <c r="B1557" s="44" t="s">
        <v>163</v>
      </c>
      <c r="C1557" s="62">
        <f>VLOOKUP(B1557,合并仓明细!$D$2:$F$74,3,0)</f>
        <v>115</v>
      </c>
      <c r="D1557" t="s">
        <v>413</v>
      </c>
      <c r="E1557" s="43" t="s">
        <v>333</v>
      </c>
      <c r="F1557" t="s">
        <v>66</v>
      </c>
      <c r="G1557" s="42">
        <v>93.6</v>
      </c>
      <c r="H1557"/>
      <c r="K1557" s="1"/>
      <c r="L1557" s="33"/>
      <c r="M1557" s="1"/>
      <c r="N1557" s="38">
        <f t="shared" si="23"/>
        <v>0</v>
      </c>
    </row>
    <row r="1558" spans="1:14" x14ac:dyDescent="0.25">
      <c r="A1558" t="s">
        <v>81</v>
      </c>
      <c r="B1558" s="44" t="s">
        <v>163</v>
      </c>
      <c r="C1558" s="62">
        <f>VLOOKUP(B1558,合并仓明细!$D$2:$F$74,3,0)</f>
        <v>115</v>
      </c>
      <c r="D1558" t="s">
        <v>413</v>
      </c>
      <c r="E1558" s="43" t="s">
        <v>267</v>
      </c>
      <c r="F1558" t="s">
        <v>68</v>
      </c>
      <c r="G1558" s="42">
        <v>2992.39</v>
      </c>
      <c r="H1558">
        <v>13.967699999999999</v>
      </c>
      <c r="I1558" s="46">
        <f>ROUNDUP(H1558/30,0)*VLOOKUP(D1558,'报价表-配送'!$B$32:$I$37,8,0)</f>
        <v>0</v>
      </c>
      <c r="K1558" s="1"/>
      <c r="L1558" s="33"/>
      <c r="M1558" s="1"/>
      <c r="N1558" s="38">
        <f t="shared" si="23"/>
        <v>0</v>
      </c>
    </row>
    <row r="1559" spans="1:14" x14ac:dyDescent="0.25">
      <c r="A1559" t="s">
        <v>81</v>
      </c>
      <c r="B1559" s="44" t="s">
        <v>163</v>
      </c>
      <c r="C1559" s="62">
        <f>VLOOKUP(B1559,合并仓明细!$D$2:$F$74,3,0)</f>
        <v>115</v>
      </c>
      <c r="D1559" t="s">
        <v>413</v>
      </c>
      <c r="E1559" s="43" t="s">
        <v>267</v>
      </c>
      <c r="F1559" t="s">
        <v>67</v>
      </c>
      <c r="G1559" s="42">
        <v>7808.62</v>
      </c>
      <c r="H1559"/>
      <c r="K1559" s="1"/>
      <c r="L1559" s="33"/>
      <c r="M1559" s="1"/>
      <c r="N1559" s="38">
        <f t="shared" si="23"/>
        <v>0</v>
      </c>
    </row>
    <row r="1560" spans="1:14" x14ac:dyDescent="0.25">
      <c r="A1560" t="s">
        <v>81</v>
      </c>
      <c r="B1560" s="44" t="s">
        <v>163</v>
      </c>
      <c r="C1560" s="62">
        <f>VLOOKUP(B1560,合并仓明细!$D$2:$F$74,3,0)</f>
        <v>115</v>
      </c>
      <c r="D1560" t="s">
        <v>413</v>
      </c>
      <c r="E1560" s="43" t="s">
        <v>267</v>
      </c>
      <c r="F1560" t="s">
        <v>66</v>
      </c>
      <c r="G1560" s="42">
        <v>3166.6899999999991</v>
      </c>
      <c r="H1560"/>
      <c r="K1560" s="1"/>
      <c r="L1560" s="33"/>
      <c r="M1560" s="1"/>
      <c r="N1560" s="38">
        <f t="shared" si="23"/>
        <v>0</v>
      </c>
    </row>
    <row r="1561" spans="1:14" x14ac:dyDescent="0.25">
      <c r="A1561" t="s">
        <v>81</v>
      </c>
      <c r="B1561" s="44" t="s">
        <v>163</v>
      </c>
      <c r="C1561" s="62">
        <f>VLOOKUP(B1561,合并仓明细!$D$2:$F$74,3,0)</f>
        <v>115</v>
      </c>
      <c r="D1561" t="s">
        <v>413</v>
      </c>
      <c r="E1561" s="43" t="s">
        <v>268</v>
      </c>
      <c r="F1561" t="s">
        <v>66</v>
      </c>
      <c r="G1561" s="42">
        <v>364.82</v>
      </c>
      <c r="H1561">
        <v>0.36481999999999998</v>
      </c>
      <c r="K1561" s="1"/>
      <c r="L1561" s="37">
        <f>IF(H1561&gt;30,QUOTIENT(H1561,30)*VLOOKUP(D1561,'报价表-配送'!$B$32:$I$37,8,0),0)+IF(AND(MOD(H1561,30)&gt;18,MOD(H1561,30)&lt;=30),1,0)*VLOOKUP(D1561,'报价表-配送'!$B$32:$I$37,8,0)+IF(AND(MOD(H1561,30)&gt;8,MOD(H1561,30)&lt;=18),1*VLOOKUP(D1561,'报价表-配送'!$B$32:$I$37,7,0),0)+IF(AND(MOD(H1561,30)&lt;=8,MOD(H1561,30)&gt;2.5),1,0)*VLOOKUP(D1561,'报价表-配送'!$B$32:$I$37,6,0)+IF(AND(MOD(H1561,30)&lt;=2.5,MOD(H1561,30)&gt;=1.5),1,0)*VLOOKUP(D1561,'报价表-配送'!$B$32:$I$37,5,0)</f>
        <v>0</v>
      </c>
      <c r="M1561" s="39">
        <f>IF(AND(MOD(H1561,30)&lt;1.5,MOD(H1561,30)&gt;=0.5),H1561,0)*VLOOKUP(D1561,'报价表-配送'!$B$32:$I$37,4,0)*1000+IF(AND(MOD(H1561,30)&lt;0.5,MOD(H1561,30)&gt;=0.02),H1561,0)*VLOOKUP(D1561,'报价表-配送'!$B$32:$I$37,3,0)*1000+IF(AND(MOD(H1561,30)&lt;0.02),H1561,0)*VLOOKUP(D1561,'报价表-配送'!$B$32:$I$37,2,0)*1000</f>
        <v>0</v>
      </c>
      <c r="N1561" s="38">
        <f t="shared" si="23"/>
        <v>0</v>
      </c>
    </row>
    <row r="1562" spans="1:14" x14ac:dyDescent="0.25">
      <c r="A1562" t="s">
        <v>81</v>
      </c>
      <c r="B1562" s="44" t="s">
        <v>163</v>
      </c>
      <c r="C1562" s="62">
        <f>VLOOKUP(B1562,合并仓明细!$D$2:$F$74,3,0)</f>
        <v>115</v>
      </c>
      <c r="D1562" t="s">
        <v>413</v>
      </c>
      <c r="E1562" s="43" t="s">
        <v>269</v>
      </c>
      <c r="F1562" t="s">
        <v>66</v>
      </c>
      <c r="G1562" s="42">
        <v>352.01</v>
      </c>
      <c r="H1562">
        <v>0.35200999999999999</v>
      </c>
      <c r="K1562" s="1"/>
      <c r="L1562" s="37">
        <f>IF(H1562&gt;30,QUOTIENT(H1562,30)*VLOOKUP(D1562,'报价表-配送'!$B$32:$I$37,8,0),0)+IF(AND(MOD(H1562,30)&gt;18,MOD(H1562,30)&lt;=30),1,0)*VLOOKUP(D1562,'报价表-配送'!$B$32:$I$37,8,0)+IF(AND(MOD(H1562,30)&gt;8,MOD(H1562,30)&lt;=18),1*VLOOKUP(D1562,'报价表-配送'!$B$32:$I$37,7,0),0)+IF(AND(MOD(H1562,30)&lt;=8,MOD(H1562,30)&gt;2.5),1,0)*VLOOKUP(D1562,'报价表-配送'!$B$32:$I$37,6,0)+IF(AND(MOD(H1562,30)&lt;=2.5,MOD(H1562,30)&gt;=1.5),1,0)*VLOOKUP(D1562,'报价表-配送'!$B$32:$I$37,5,0)</f>
        <v>0</v>
      </c>
      <c r="M1562" s="39">
        <f>IF(AND(MOD(H1562,30)&lt;1.5,MOD(H1562,30)&gt;=0.5),H1562,0)*VLOOKUP(D1562,'报价表-配送'!$B$32:$I$37,4,0)*1000+IF(AND(MOD(H1562,30)&lt;0.5,MOD(H1562,30)&gt;=0.02),H1562,0)*VLOOKUP(D1562,'报价表-配送'!$B$32:$I$37,3,0)*1000+IF(AND(MOD(H1562,30)&lt;0.02),H1562,0)*VLOOKUP(D1562,'报价表-配送'!$B$32:$I$37,2,0)*1000</f>
        <v>0</v>
      </c>
      <c r="N1562" s="38">
        <f t="shared" si="23"/>
        <v>0</v>
      </c>
    </row>
    <row r="1563" spans="1:14" x14ac:dyDescent="0.25">
      <c r="A1563" t="s">
        <v>81</v>
      </c>
      <c r="B1563" s="44" t="s">
        <v>163</v>
      </c>
      <c r="C1563" s="62">
        <f>VLOOKUP(B1563,合并仓明细!$D$2:$F$74,3,0)</f>
        <v>115</v>
      </c>
      <c r="D1563" t="s">
        <v>413</v>
      </c>
      <c r="E1563" s="43" t="s">
        <v>259</v>
      </c>
      <c r="F1563" t="s">
        <v>68</v>
      </c>
      <c r="G1563" s="42">
        <v>2691.37</v>
      </c>
      <c r="H1563">
        <v>3.4162199999999996</v>
      </c>
      <c r="I1563" s="46">
        <f>ROUNDUP(H1563/30,0)*VLOOKUP(D1563,'报价表-配送'!$B$32:$I$37,8,0)</f>
        <v>0</v>
      </c>
      <c r="K1563" s="1"/>
      <c r="L1563" s="33"/>
      <c r="M1563" s="1"/>
      <c r="N1563" s="38">
        <f t="shared" si="23"/>
        <v>0</v>
      </c>
    </row>
    <row r="1564" spans="1:14" x14ac:dyDescent="0.25">
      <c r="A1564" t="s">
        <v>81</v>
      </c>
      <c r="B1564" s="44" t="s">
        <v>163</v>
      </c>
      <c r="C1564" s="62">
        <f>VLOOKUP(B1564,合并仓明细!$D$2:$F$74,3,0)</f>
        <v>115</v>
      </c>
      <c r="D1564" t="s">
        <v>413</v>
      </c>
      <c r="E1564" s="43" t="s">
        <v>259</v>
      </c>
      <c r="F1564" t="s">
        <v>66</v>
      </c>
      <c r="G1564" s="42">
        <v>724.84999999999991</v>
      </c>
      <c r="H1564"/>
      <c r="K1564" s="1"/>
      <c r="L1564" s="33"/>
      <c r="M1564" s="1"/>
      <c r="N1564" s="38">
        <f t="shared" si="23"/>
        <v>0</v>
      </c>
    </row>
    <row r="1565" spans="1:14" x14ac:dyDescent="0.25">
      <c r="A1565" t="s">
        <v>81</v>
      </c>
      <c r="B1565" s="44" t="s">
        <v>163</v>
      </c>
      <c r="C1565" s="62">
        <f>VLOOKUP(B1565,合并仓明细!$D$2:$F$74,3,0)</f>
        <v>115</v>
      </c>
      <c r="D1565" t="s">
        <v>413</v>
      </c>
      <c r="E1565" s="43" t="s">
        <v>322</v>
      </c>
      <c r="F1565" t="s">
        <v>66</v>
      </c>
      <c r="G1565" s="42">
        <v>1.9</v>
      </c>
      <c r="H1565">
        <v>1.9E-3</v>
      </c>
      <c r="K1565" s="1"/>
      <c r="L1565" s="37">
        <f>IF(H1565&gt;30,QUOTIENT(H1565,30)*VLOOKUP(D1565,'报价表-配送'!$B$32:$I$37,8,0),0)+IF(AND(MOD(H1565,30)&gt;18,MOD(H1565,30)&lt;=30),1,0)*VLOOKUP(D1565,'报价表-配送'!$B$32:$I$37,8,0)+IF(AND(MOD(H1565,30)&gt;8,MOD(H1565,30)&lt;=18),1*VLOOKUP(D1565,'报价表-配送'!$B$32:$I$37,7,0),0)+IF(AND(MOD(H1565,30)&lt;=8,MOD(H1565,30)&gt;2.5),1,0)*VLOOKUP(D1565,'报价表-配送'!$B$32:$I$37,6,0)+IF(AND(MOD(H1565,30)&lt;=2.5,MOD(H1565,30)&gt;=1.5),1,0)*VLOOKUP(D1565,'报价表-配送'!$B$32:$I$37,5,0)</f>
        <v>0</v>
      </c>
      <c r="M1565" s="39">
        <f>IF(AND(MOD(H1565,30)&lt;1.5,MOD(H1565,30)&gt;=0.5),H1565,0)*VLOOKUP(D1565,'报价表-配送'!$B$32:$I$37,4,0)*1000+IF(AND(MOD(H1565,30)&lt;0.5,MOD(H1565,30)&gt;=0.02),H1565,0)*VLOOKUP(D1565,'报价表-配送'!$B$32:$I$37,3,0)*1000+IF(AND(MOD(H1565,30)&lt;0.02),H1565,0)*VLOOKUP(D1565,'报价表-配送'!$B$32:$I$37,2,0)*1000</f>
        <v>0</v>
      </c>
      <c r="N1565" s="38">
        <f t="shared" si="23"/>
        <v>0</v>
      </c>
    </row>
    <row r="1566" spans="1:14" x14ac:dyDescent="0.25">
      <c r="A1566" t="s">
        <v>81</v>
      </c>
      <c r="B1566" s="44" t="s">
        <v>163</v>
      </c>
      <c r="C1566" s="62">
        <f>VLOOKUP(B1566,合并仓明细!$D$2:$F$74,3,0)</f>
        <v>115</v>
      </c>
      <c r="D1566" t="s">
        <v>413</v>
      </c>
      <c r="E1566" s="43" t="s">
        <v>275</v>
      </c>
      <c r="F1566" t="s">
        <v>67</v>
      </c>
      <c r="G1566" s="42">
        <v>311.27</v>
      </c>
      <c r="H1566">
        <v>0.33006000000000002</v>
      </c>
      <c r="I1566" s="38">
        <f>IF(H1566&gt;30,QUOTIENT(H1566,30)*VLOOKUP(D1566,'报价表-配送'!$B$32:$I$37,8,0),0)+IF(AND(MOD(H1566,30)&gt;18,MOD(H1566,30)&lt;=30),1,0)*VLOOKUP(D1566,'报价表-配送'!$B$32:$I$37,8,0)</f>
        <v>0</v>
      </c>
      <c r="J1566" s="38">
        <f>IF(AND(MOD(H1566,30)&gt;8,MOD(H1566,30)&lt;=18),1*VLOOKUP(D1566,'报价表-配送'!$B$32:$I$37,7,0),0)</f>
        <v>0</v>
      </c>
      <c r="K1566" s="38">
        <f>IF(AND(MOD(H1566,30)&lt;=8,MOD(H1566,30)&gt;0),1,0)*VLOOKUP(D1566,'报价表-配送'!$B$32:$I$37,6,0)</f>
        <v>0</v>
      </c>
      <c r="L1566" s="33"/>
      <c r="M1566" s="1"/>
      <c r="N1566" s="38">
        <f t="shared" si="23"/>
        <v>0</v>
      </c>
    </row>
    <row r="1567" spans="1:14" x14ac:dyDescent="0.25">
      <c r="A1567" t="s">
        <v>81</v>
      </c>
      <c r="B1567" s="44" t="s">
        <v>163</v>
      </c>
      <c r="C1567" s="62">
        <f>VLOOKUP(B1567,合并仓明细!$D$2:$F$74,3,0)</f>
        <v>115</v>
      </c>
      <c r="D1567" t="s">
        <v>413</v>
      </c>
      <c r="E1567" s="43" t="s">
        <v>275</v>
      </c>
      <c r="F1567" t="s">
        <v>66</v>
      </c>
      <c r="G1567" s="42">
        <v>18.79</v>
      </c>
      <c r="H1567"/>
      <c r="K1567" s="1"/>
      <c r="L1567" s="33"/>
      <c r="M1567" s="1"/>
      <c r="N1567" s="38">
        <f t="shared" si="23"/>
        <v>0</v>
      </c>
    </row>
    <row r="1568" spans="1:14" x14ac:dyDescent="0.25">
      <c r="A1568" t="s">
        <v>81</v>
      </c>
      <c r="B1568" s="44" t="s">
        <v>163</v>
      </c>
      <c r="C1568" s="62">
        <f>VLOOKUP(B1568,合并仓明细!$D$2:$F$74,3,0)</f>
        <v>115</v>
      </c>
      <c r="D1568" t="s">
        <v>413</v>
      </c>
      <c r="E1568" s="43" t="s">
        <v>346</v>
      </c>
      <c r="F1568" t="s">
        <v>67</v>
      </c>
      <c r="G1568" s="42">
        <v>10159.1</v>
      </c>
      <c r="H1568">
        <v>20.267880000000005</v>
      </c>
      <c r="I1568" s="38">
        <f>IF(H1568&gt;30,QUOTIENT(H1568,30)*VLOOKUP(D1568,'报价表-配送'!$B$32:$I$37,8,0),0)+IF(AND(MOD(H1568,30)&gt;18,MOD(H1568,30)&lt;=30),1,0)*VLOOKUP(D1568,'报价表-配送'!$B$32:$I$37,8,0)</f>
        <v>0</v>
      </c>
      <c r="J1568" s="38">
        <f>IF(AND(MOD(H1568,30)&gt;8,MOD(H1568,30)&lt;=18),1*VLOOKUP(D1568,'报价表-配送'!$B$32:$I$37,7,0),0)</f>
        <v>0</v>
      </c>
      <c r="K1568" s="38">
        <f>IF(AND(MOD(H1568,30)&lt;=8,MOD(H1568,30)&gt;0),1,0)*VLOOKUP(D1568,'报价表-配送'!$B$32:$I$37,6,0)</f>
        <v>0</v>
      </c>
      <c r="L1568" s="33"/>
      <c r="M1568" s="1"/>
      <c r="N1568" s="38">
        <f t="shared" ref="N1568:N1631" si="24">SUM(I1568:M1568)</f>
        <v>0</v>
      </c>
    </row>
    <row r="1569" spans="1:14" x14ac:dyDescent="0.25">
      <c r="A1569" t="s">
        <v>81</v>
      </c>
      <c r="B1569" s="44" t="s">
        <v>163</v>
      </c>
      <c r="C1569" s="62">
        <f>VLOOKUP(B1569,合并仓明细!$D$2:$F$74,3,0)</f>
        <v>115</v>
      </c>
      <c r="D1569" t="s">
        <v>413</v>
      </c>
      <c r="E1569" s="43" t="s">
        <v>346</v>
      </c>
      <c r="F1569" t="s">
        <v>66</v>
      </c>
      <c r="G1569" s="42">
        <v>10108.780000000002</v>
      </c>
      <c r="H1569"/>
      <c r="K1569" s="1"/>
      <c r="L1569" s="33"/>
      <c r="M1569" s="1"/>
      <c r="N1569" s="38">
        <f t="shared" si="24"/>
        <v>0</v>
      </c>
    </row>
    <row r="1570" spans="1:14" x14ac:dyDescent="0.25">
      <c r="A1570" t="s">
        <v>81</v>
      </c>
      <c r="B1570" s="51" t="s">
        <v>163</v>
      </c>
      <c r="C1570" s="62">
        <f>VLOOKUP(B1570,合并仓明细!$D$2:$F$74,3,0)</f>
        <v>115</v>
      </c>
      <c r="D1570" t="s">
        <v>413</v>
      </c>
      <c r="E1570" s="43" t="s">
        <v>276</v>
      </c>
      <c r="F1570" t="s">
        <v>67</v>
      </c>
      <c r="G1570" s="42">
        <v>400.49</v>
      </c>
      <c r="H1570">
        <v>0.57049000000000005</v>
      </c>
      <c r="I1570" s="38">
        <f>IF(H1570&gt;30,QUOTIENT(H1570,30)*VLOOKUP(D1570,'报价表-配送'!$B$32:$I$37,8,0),0)+IF(AND(MOD(H1570,30)&gt;18,MOD(H1570,30)&lt;=30),1,0)*VLOOKUP(D1570,'报价表-配送'!$B$32:$I$37,8,0)</f>
        <v>0</v>
      </c>
      <c r="J1570" s="38">
        <f>IF(AND(MOD(H1570,30)&gt;8,MOD(H1570,30)&lt;=18),1*VLOOKUP(D1570,'报价表-配送'!$B$32:$I$37,7,0),0)</f>
        <v>0</v>
      </c>
      <c r="K1570" s="38">
        <f>IF(AND(MOD(H1570,30)&lt;=8,MOD(H1570,30)&gt;0),1,0)*VLOOKUP(D1570,'报价表-配送'!$B$32:$I$37,6,0)</f>
        <v>0</v>
      </c>
      <c r="L1570" s="33"/>
      <c r="M1570" s="1"/>
      <c r="N1570" s="38">
        <f t="shared" si="24"/>
        <v>0</v>
      </c>
    </row>
    <row r="1571" spans="1:14" x14ac:dyDescent="0.25">
      <c r="A1571" t="s">
        <v>81</v>
      </c>
      <c r="B1571" s="44" t="s">
        <v>163</v>
      </c>
      <c r="C1571" s="62">
        <f>VLOOKUP(B1571,合并仓明细!$D$2:$F$74,3,0)</f>
        <v>115</v>
      </c>
      <c r="D1571" t="s">
        <v>413</v>
      </c>
      <c r="E1571" s="43" t="s">
        <v>276</v>
      </c>
      <c r="F1571" t="s">
        <v>66</v>
      </c>
      <c r="G1571" s="42">
        <v>170</v>
      </c>
      <c r="H1571"/>
      <c r="K1571" s="1"/>
      <c r="L1571" s="37"/>
      <c r="M1571" s="39"/>
      <c r="N1571" s="38">
        <f t="shared" si="24"/>
        <v>0</v>
      </c>
    </row>
    <row r="1572" spans="1:14" x14ac:dyDescent="0.25">
      <c r="A1572" t="s">
        <v>81</v>
      </c>
      <c r="B1572" s="44" t="s">
        <v>163</v>
      </c>
      <c r="C1572" s="62">
        <f>VLOOKUP(B1572,合并仓明细!$D$2:$F$74,3,0)</f>
        <v>115</v>
      </c>
      <c r="D1572" t="s">
        <v>413</v>
      </c>
      <c r="E1572" s="43" t="s">
        <v>337</v>
      </c>
      <c r="F1572" t="s">
        <v>68</v>
      </c>
      <c r="G1572" s="42">
        <v>2033.1</v>
      </c>
      <c r="H1572">
        <v>2.8700199999999998</v>
      </c>
      <c r="I1572" s="46">
        <f>ROUNDUP(H1572/30,0)*VLOOKUP(D1572,'报价表-配送'!$B$32:$I$37,8,0)</f>
        <v>0</v>
      </c>
      <c r="K1572" s="1"/>
      <c r="L1572" s="33"/>
      <c r="M1572" s="1"/>
      <c r="N1572" s="38">
        <f t="shared" si="24"/>
        <v>0</v>
      </c>
    </row>
    <row r="1573" spans="1:14" x14ac:dyDescent="0.25">
      <c r="A1573" t="s">
        <v>81</v>
      </c>
      <c r="B1573" s="44" t="s">
        <v>163</v>
      </c>
      <c r="C1573" s="62">
        <f>VLOOKUP(B1573,合并仓明细!$D$2:$F$74,3,0)</f>
        <v>115</v>
      </c>
      <c r="D1573" t="s">
        <v>413</v>
      </c>
      <c r="E1573" s="43" t="s">
        <v>337</v>
      </c>
      <c r="F1573" t="s">
        <v>67</v>
      </c>
      <c r="G1573" s="42">
        <v>792.31</v>
      </c>
      <c r="H1573"/>
      <c r="K1573" s="1"/>
      <c r="L1573" s="33"/>
      <c r="M1573" s="1"/>
      <c r="N1573" s="38">
        <f t="shared" si="24"/>
        <v>0</v>
      </c>
    </row>
    <row r="1574" spans="1:14" x14ac:dyDescent="0.25">
      <c r="A1574" t="s">
        <v>81</v>
      </c>
      <c r="B1574" s="44" t="s">
        <v>163</v>
      </c>
      <c r="C1574" s="62">
        <f>VLOOKUP(B1574,合并仓明细!$D$2:$F$74,3,0)</f>
        <v>115</v>
      </c>
      <c r="D1574" t="s">
        <v>413</v>
      </c>
      <c r="E1574" s="43" t="s">
        <v>337</v>
      </c>
      <c r="F1574" t="s">
        <v>66</v>
      </c>
      <c r="G1574" s="42">
        <v>44.61</v>
      </c>
      <c r="H1574"/>
      <c r="K1574" s="1"/>
      <c r="L1574" s="33"/>
      <c r="M1574" s="1"/>
      <c r="N1574" s="38">
        <f t="shared" si="24"/>
        <v>0</v>
      </c>
    </row>
    <row r="1575" spans="1:14" x14ac:dyDescent="0.25">
      <c r="A1575" t="s">
        <v>81</v>
      </c>
      <c r="B1575" s="44" t="s">
        <v>163</v>
      </c>
      <c r="C1575" s="62">
        <f>VLOOKUP(B1575,合并仓明细!$D$2:$F$74,3,0)</f>
        <v>115</v>
      </c>
      <c r="D1575" t="s">
        <v>413</v>
      </c>
      <c r="E1575" s="43" t="s">
        <v>246</v>
      </c>
      <c r="F1575" t="s">
        <v>66</v>
      </c>
      <c r="G1575" s="42">
        <v>87.399999999999991</v>
      </c>
      <c r="H1575">
        <v>8.7399999999999992E-2</v>
      </c>
      <c r="I1575" s="46"/>
      <c r="K1575" s="1"/>
      <c r="L1575" s="37">
        <f>IF(H1575&gt;30,QUOTIENT(H1575,30)*VLOOKUP(D1575,'报价表-配送'!$B$32:$I$37,8,0),0)+IF(AND(MOD(H1575,30)&gt;18,MOD(H1575,30)&lt;=30),1,0)*VLOOKUP(D1575,'报价表-配送'!$B$32:$I$37,8,0)+IF(AND(MOD(H1575,30)&gt;8,MOD(H1575,30)&lt;=18),1*VLOOKUP(D1575,'报价表-配送'!$B$32:$I$37,7,0),0)+IF(AND(MOD(H1575,30)&lt;=8,MOD(H1575,30)&gt;2.5),1,0)*VLOOKUP(D1575,'报价表-配送'!$B$32:$I$37,6,0)+IF(AND(MOD(H1575,30)&lt;=2.5,MOD(H1575,30)&gt;=1.5),1,0)*VLOOKUP(D1575,'报价表-配送'!$B$32:$I$37,5,0)</f>
        <v>0</v>
      </c>
      <c r="M1575" s="39">
        <f>IF(AND(MOD(H1575,30)&lt;1.5,MOD(H1575,30)&gt;=0.5),H1575,0)*VLOOKUP(D1575,'报价表-配送'!$B$32:$I$37,4,0)*1000+IF(AND(MOD(H1575,30)&lt;0.5,MOD(H1575,30)&gt;=0.02),H1575,0)*VLOOKUP(D1575,'报价表-配送'!$B$32:$I$37,3,0)*1000+IF(AND(MOD(H1575,30)&lt;0.02),H1575,0)*VLOOKUP(D1575,'报价表-配送'!$B$32:$I$37,2,0)*1000</f>
        <v>0</v>
      </c>
      <c r="N1575" s="38">
        <f t="shared" si="24"/>
        <v>0</v>
      </c>
    </row>
    <row r="1576" spans="1:14" x14ac:dyDescent="0.25">
      <c r="A1576" t="s">
        <v>81</v>
      </c>
      <c r="B1576" s="44" t="s">
        <v>163</v>
      </c>
      <c r="C1576" s="62">
        <f>VLOOKUP(B1576,合并仓明细!$D$2:$F$74,3,0)</f>
        <v>115</v>
      </c>
      <c r="D1576" t="s">
        <v>413</v>
      </c>
      <c r="E1576" s="43" t="s">
        <v>312</v>
      </c>
      <c r="F1576" t="s">
        <v>67</v>
      </c>
      <c r="G1576" s="42">
        <v>6788.49</v>
      </c>
      <c r="H1576">
        <v>6.88429</v>
      </c>
      <c r="I1576" s="38">
        <f>IF(H1576&gt;30,QUOTIENT(H1576,30)*VLOOKUP(D1576,'报价表-配送'!$B$32:$I$37,8,0),0)+IF(AND(MOD(H1576,30)&gt;18,MOD(H1576,30)&lt;=30),1,0)*VLOOKUP(D1576,'报价表-配送'!$B$32:$I$37,8,0)</f>
        <v>0</v>
      </c>
      <c r="J1576" s="38">
        <f>IF(AND(MOD(H1576,30)&gt;8,MOD(H1576,30)&lt;=18),1*VLOOKUP(D1576,'报价表-配送'!$B$32:$I$37,7,0),0)</f>
        <v>0</v>
      </c>
      <c r="K1576" s="38">
        <f>IF(AND(MOD(H1576,30)&lt;=8,MOD(H1576,30)&gt;0),1,0)*VLOOKUP(D1576,'报价表-配送'!$B$32:$I$37,6,0)</f>
        <v>0</v>
      </c>
      <c r="L1576" s="33"/>
      <c r="M1576" s="1"/>
      <c r="N1576" s="38">
        <f t="shared" si="24"/>
        <v>0</v>
      </c>
    </row>
    <row r="1577" spans="1:14" x14ac:dyDescent="0.25">
      <c r="A1577" t="s">
        <v>81</v>
      </c>
      <c r="B1577" s="44" t="s">
        <v>163</v>
      </c>
      <c r="C1577" s="62">
        <f>VLOOKUP(B1577,合并仓明细!$D$2:$F$74,3,0)</f>
        <v>115</v>
      </c>
      <c r="D1577" t="s">
        <v>413</v>
      </c>
      <c r="E1577" s="43" t="s">
        <v>312</v>
      </c>
      <c r="F1577" t="s">
        <v>66</v>
      </c>
      <c r="G1577" s="42">
        <v>95.8</v>
      </c>
      <c r="H1577"/>
      <c r="K1577" s="1"/>
      <c r="L1577" s="33"/>
      <c r="M1577" s="1"/>
      <c r="N1577" s="38">
        <f t="shared" si="24"/>
        <v>0</v>
      </c>
    </row>
    <row r="1578" spans="1:14" x14ac:dyDescent="0.25">
      <c r="A1578" t="s">
        <v>81</v>
      </c>
      <c r="B1578" s="44" t="s">
        <v>163</v>
      </c>
      <c r="C1578" s="62">
        <f>VLOOKUP(B1578,合并仓明细!$D$2:$F$74,3,0)</f>
        <v>115</v>
      </c>
      <c r="D1578" t="s">
        <v>413</v>
      </c>
      <c r="E1578" s="43" t="s">
        <v>282</v>
      </c>
      <c r="F1578" t="s">
        <v>67</v>
      </c>
      <c r="G1578" s="42">
        <v>1353.64</v>
      </c>
      <c r="H1578">
        <v>1.6188400000000001</v>
      </c>
      <c r="I1578" s="38">
        <f>IF(H1578&gt;30,QUOTIENT(H1578,30)*VLOOKUP(D1578,'报价表-配送'!$B$32:$I$37,8,0),0)+IF(AND(MOD(H1578,30)&gt;18,MOD(H1578,30)&lt;=30),1,0)*VLOOKUP(D1578,'报价表-配送'!$B$32:$I$37,8,0)</f>
        <v>0</v>
      </c>
      <c r="J1578" s="38">
        <f>IF(AND(MOD(H1578,30)&gt;8,MOD(H1578,30)&lt;=18),1*VLOOKUP(D1578,'报价表-配送'!$B$32:$I$37,7,0),0)</f>
        <v>0</v>
      </c>
      <c r="K1578" s="38">
        <f>IF(AND(MOD(H1578,30)&lt;=8,MOD(H1578,30)&gt;0),1,0)*VLOOKUP(D1578,'报价表-配送'!$B$32:$I$37,6,0)</f>
        <v>0</v>
      </c>
      <c r="L1578" s="33"/>
      <c r="M1578" s="1"/>
      <c r="N1578" s="38">
        <f t="shared" si="24"/>
        <v>0</v>
      </c>
    </row>
    <row r="1579" spans="1:14" x14ac:dyDescent="0.25">
      <c r="A1579" t="s">
        <v>81</v>
      </c>
      <c r="B1579" s="44" t="s">
        <v>163</v>
      </c>
      <c r="C1579" s="62">
        <f>VLOOKUP(B1579,合并仓明细!$D$2:$F$74,3,0)</f>
        <v>115</v>
      </c>
      <c r="D1579" t="s">
        <v>413</v>
      </c>
      <c r="E1579" s="43" t="s">
        <v>282</v>
      </c>
      <c r="F1579" t="s">
        <v>66</v>
      </c>
      <c r="G1579" s="42">
        <v>265.19999999999993</v>
      </c>
      <c r="H1579"/>
      <c r="K1579" s="1"/>
      <c r="L1579" s="33"/>
      <c r="M1579" s="1"/>
      <c r="N1579" s="38">
        <f t="shared" si="24"/>
        <v>0</v>
      </c>
    </row>
    <row r="1580" spans="1:14" x14ac:dyDescent="0.25">
      <c r="A1580" t="s">
        <v>81</v>
      </c>
      <c r="B1580" s="44" t="s">
        <v>163</v>
      </c>
      <c r="C1580" s="62">
        <f>VLOOKUP(B1580,合并仓明细!$D$2:$F$74,3,0)</f>
        <v>115</v>
      </c>
      <c r="D1580" t="s">
        <v>413</v>
      </c>
      <c r="E1580" s="43" t="s">
        <v>339</v>
      </c>
      <c r="F1580" t="s">
        <v>68</v>
      </c>
      <c r="G1580" s="42">
        <v>38.409999999999997</v>
      </c>
      <c r="H1580">
        <v>0.15117</v>
      </c>
      <c r="I1580" s="46">
        <f>ROUNDUP(H1580/30,0)*VLOOKUP(D1580,'报价表-配送'!$B$32:$I$37,8,0)</f>
        <v>0</v>
      </c>
      <c r="K1580" s="1"/>
      <c r="L1580" s="33"/>
      <c r="M1580" s="1"/>
      <c r="N1580" s="38">
        <f t="shared" si="24"/>
        <v>0</v>
      </c>
    </row>
    <row r="1581" spans="1:14" x14ac:dyDescent="0.25">
      <c r="A1581" t="s">
        <v>81</v>
      </c>
      <c r="B1581" s="44" t="s">
        <v>163</v>
      </c>
      <c r="C1581" s="62">
        <f>VLOOKUP(B1581,合并仓明细!$D$2:$F$74,3,0)</f>
        <v>115</v>
      </c>
      <c r="D1581" t="s">
        <v>413</v>
      </c>
      <c r="E1581" s="43" t="s">
        <v>339</v>
      </c>
      <c r="F1581" t="s">
        <v>67</v>
      </c>
      <c r="G1581" s="42">
        <v>80.099999999999994</v>
      </c>
      <c r="H1581"/>
      <c r="I1581" s="46"/>
      <c r="K1581" s="1"/>
      <c r="L1581" s="33"/>
      <c r="M1581" s="1"/>
      <c r="N1581" s="38">
        <f t="shared" si="24"/>
        <v>0</v>
      </c>
    </row>
    <row r="1582" spans="1:14" x14ac:dyDescent="0.25">
      <c r="A1582" t="s">
        <v>81</v>
      </c>
      <c r="B1582" s="44" t="s">
        <v>163</v>
      </c>
      <c r="C1582" s="62">
        <f>VLOOKUP(B1582,合并仓明细!$D$2:$F$74,3,0)</f>
        <v>115</v>
      </c>
      <c r="D1582" t="s">
        <v>413</v>
      </c>
      <c r="E1582" s="43" t="s">
        <v>339</v>
      </c>
      <c r="F1582" t="s">
        <v>66</v>
      </c>
      <c r="G1582" s="42">
        <v>32.659999999999997</v>
      </c>
      <c r="H1582"/>
      <c r="K1582" s="1"/>
      <c r="L1582" s="33"/>
      <c r="M1582" s="1"/>
      <c r="N1582" s="38">
        <f t="shared" si="24"/>
        <v>0</v>
      </c>
    </row>
    <row r="1583" spans="1:14" x14ac:dyDescent="0.25">
      <c r="A1583" t="s">
        <v>81</v>
      </c>
      <c r="B1583" s="44" t="s">
        <v>163</v>
      </c>
      <c r="C1583" s="62">
        <f>VLOOKUP(B1583,合并仓明细!$D$2:$F$74,3,0)</f>
        <v>115</v>
      </c>
      <c r="D1583" t="s">
        <v>413</v>
      </c>
      <c r="E1583" s="43" t="s">
        <v>283</v>
      </c>
      <c r="F1583" t="s">
        <v>66</v>
      </c>
      <c r="G1583" s="42">
        <v>834.05</v>
      </c>
      <c r="H1583">
        <v>0.83404999999999996</v>
      </c>
      <c r="K1583" s="1"/>
      <c r="L1583" s="37">
        <f>IF(H1583&gt;30,QUOTIENT(H1583,30)*VLOOKUP(D1583,'报价表-配送'!$B$32:$I$37,8,0),0)+IF(AND(MOD(H1583,30)&gt;18,MOD(H1583,30)&lt;=30),1,0)*VLOOKUP(D1583,'报价表-配送'!$B$32:$I$37,8,0)+IF(AND(MOD(H1583,30)&gt;8,MOD(H1583,30)&lt;=18),1*VLOOKUP(D1583,'报价表-配送'!$B$32:$I$37,7,0),0)+IF(AND(MOD(H1583,30)&lt;=8,MOD(H1583,30)&gt;2.5),1,0)*VLOOKUP(D1583,'报价表-配送'!$B$32:$I$37,6,0)+IF(AND(MOD(H1583,30)&lt;=2.5,MOD(H1583,30)&gt;=1.5),1,0)*VLOOKUP(D1583,'报价表-配送'!$B$32:$I$37,5,0)</f>
        <v>0</v>
      </c>
      <c r="M1583" s="39">
        <f>IF(AND(MOD(H1583,30)&lt;1.5,MOD(H1583,30)&gt;=0.5),H1583,0)*VLOOKUP(D1583,'报价表-配送'!$B$32:$I$37,4,0)*1000+IF(AND(MOD(H1583,30)&lt;0.5,MOD(H1583,30)&gt;=0.02),H1583,0)*VLOOKUP(D1583,'报价表-配送'!$B$32:$I$37,3,0)*1000+IF(AND(MOD(H1583,30)&lt;0.02),H1583,0)*VLOOKUP(D1583,'报价表-配送'!$B$32:$I$37,2,0)*1000</f>
        <v>0</v>
      </c>
      <c r="N1583" s="38">
        <f t="shared" si="24"/>
        <v>0</v>
      </c>
    </row>
    <row r="1584" spans="1:14" x14ac:dyDescent="0.25">
      <c r="A1584" t="s">
        <v>81</v>
      </c>
      <c r="B1584" s="44" t="s">
        <v>163</v>
      </c>
      <c r="C1584" s="62">
        <f>VLOOKUP(B1584,合并仓明细!$D$2:$F$74,3,0)</f>
        <v>115</v>
      </c>
      <c r="D1584" t="s">
        <v>413</v>
      </c>
      <c r="E1584" s="43" t="s">
        <v>323</v>
      </c>
      <c r="F1584" t="s">
        <v>66</v>
      </c>
      <c r="G1584" s="42">
        <v>518.24</v>
      </c>
      <c r="H1584">
        <v>0.51824000000000003</v>
      </c>
      <c r="I1584" s="46"/>
      <c r="K1584" s="1"/>
      <c r="L1584" s="37">
        <f>IF(H1584&gt;30,QUOTIENT(H1584,30)*VLOOKUP(D1584,'报价表-配送'!$B$32:$I$37,8,0),0)+IF(AND(MOD(H1584,30)&gt;18,MOD(H1584,30)&lt;=30),1,0)*VLOOKUP(D1584,'报价表-配送'!$B$32:$I$37,8,0)+IF(AND(MOD(H1584,30)&gt;8,MOD(H1584,30)&lt;=18),1*VLOOKUP(D1584,'报价表-配送'!$B$32:$I$37,7,0),0)+IF(AND(MOD(H1584,30)&lt;=8,MOD(H1584,30)&gt;2.5),1,0)*VLOOKUP(D1584,'报价表-配送'!$B$32:$I$37,6,0)+IF(AND(MOD(H1584,30)&lt;=2.5,MOD(H1584,30)&gt;=1.5),1,0)*VLOOKUP(D1584,'报价表-配送'!$B$32:$I$37,5,0)</f>
        <v>0</v>
      </c>
      <c r="M1584" s="39">
        <f>IF(AND(MOD(H1584,30)&lt;1.5,MOD(H1584,30)&gt;=0.5),H1584,0)*VLOOKUP(D1584,'报价表-配送'!$B$32:$I$37,4,0)*1000+IF(AND(MOD(H1584,30)&lt;0.5,MOD(H1584,30)&gt;=0.02),H1584,0)*VLOOKUP(D1584,'报价表-配送'!$B$32:$I$37,3,0)*1000+IF(AND(MOD(H1584,30)&lt;0.02),H1584,0)*VLOOKUP(D1584,'报价表-配送'!$B$32:$I$37,2,0)*1000</f>
        <v>0</v>
      </c>
      <c r="N1584" s="38">
        <f t="shared" si="24"/>
        <v>0</v>
      </c>
    </row>
    <row r="1585" spans="1:14" x14ac:dyDescent="0.25">
      <c r="A1585" t="s">
        <v>81</v>
      </c>
      <c r="B1585" s="44" t="s">
        <v>163</v>
      </c>
      <c r="C1585" s="62">
        <f>VLOOKUP(B1585,合并仓明细!$D$2:$F$74,3,0)</f>
        <v>115</v>
      </c>
      <c r="D1585" t="s">
        <v>413</v>
      </c>
      <c r="E1585" s="43" t="s">
        <v>379</v>
      </c>
      <c r="F1585" t="s">
        <v>66</v>
      </c>
      <c r="G1585" s="42">
        <v>519.18000000000006</v>
      </c>
      <c r="H1585">
        <v>0.51918000000000009</v>
      </c>
      <c r="K1585" s="1"/>
      <c r="L1585" s="37">
        <f>IF(H1585&gt;30,QUOTIENT(H1585,30)*VLOOKUP(D1585,'报价表-配送'!$B$32:$I$37,8,0),0)+IF(AND(MOD(H1585,30)&gt;18,MOD(H1585,30)&lt;=30),1,0)*VLOOKUP(D1585,'报价表-配送'!$B$32:$I$37,8,0)+IF(AND(MOD(H1585,30)&gt;8,MOD(H1585,30)&lt;=18),1*VLOOKUP(D1585,'报价表-配送'!$B$32:$I$37,7,0),0)+IF(AND(MOD(H1585,30)&lt;=8,MOD(H1585,30)&gt;2.5),1,0)*VLOOKUP(D1585,'报价表-配送'!$B$32:$I$37,6,0)+IF(AND(MOD(H1585,30)&lt;=2.5,MOD(H1585,30)&gt;=1.5),1,0)*VLOOKUP(D1585,'报价表-配送'!$B$32:$I$37,5,0)</f>
        <v>0</v>
      </c>
      <c r="M1585" s="39">
        <f>IF(AND(MOD(H1585,30)&lt;1.5,MOD(H1585,30)&gt;=0.5),H1585,0)*VLOOKUP(D1585,'报价表-配送'!$B$32:$I$37,4,0)*1000+IF(AND(MOD(H1585,30)&lt;0.5,MOD(H1585,30)&gt;=0.02),H1585,0)*VLOOKUP(D1585,'报价表-配送'!$B$32:$I$37,3,0)*1000+IF(AND(MOD(H1585,30)&lt;0.02),H1585,0)*VLOOKUP(D1585,'报价表-配送'!$B$32:$I$37,2,0)*1000</f>
        <v>0</v>
      </c>
      <c r="N1585" s="38">
        <f t="shared" si="24"/>
        <v>0</v>
      </c>
    </row>
    <row r="1586" spans="1:14" x14ac:dyDescent="0.25">
      <c r="A1586" t="s">
        <v>81</v>
      </c>
      <c r="B1586" s="44" t="s">
        <v>163</v>
      </c>
      <c r="C1586" s="62">
        <f>VLOOKUP(B1586,合并仓明细!$D$2:$F$74,3,0)</f>
        <v>115</v>
      </c>
      <c r="D1586" t="s">
        <v>413</v>
      </c>
      <c r="E1586" s="43" t="s">
        <v>313</v>
      </c>
      <c r="F1586" t="s">
        <v>66</v>
      </c>
      <c r="G1586" s="42">
        <v>2363.4100000000003</v>
      </c>
      <c r="H1586">
        <v>2.3634100000000005</v>
      </c>
      <c r="K1586" s="1"/>
      <c r="L1586" s="37">
        <f>IF(H1586&gt;30,QUOTIENT(H1586,30)*VLOOKUP(D1586,'报价表-配送'!$B$32:$I$37,8,0),0)+IF(AND(MOD(H1586,30)&gt;18,MOD(H1586,30)&lt;=30),1,0)*VLOOKUP(D1586,'报价表-配送'!$B$32:$I$37,8,0)+IF(AND(MOD(H1586,30)&gt;8,MOD(H1586,30)&lt;=18),1*VLOOKUP(D1586,'报价表-配送'!$B$32:$I$37,7,0),0)+IF(AND(MOD(H1586,30)&lt;=8,MOD(H1586,30)&gt;2.5),1,0)*VLOOKUP(D1586,'报价表-配送'!$B$32:$I$37,6,0)+IF(AND(MOD(H1586,30)&lt;=2.5,MOD(H1586,30)&gt;=1.5),1,0)*VLOOKUP(D1586,'报价表-配送'!$B$32:$I$37,5,0)</f>
        <v>0</v>
      </c>
      <c r="M1586" s="39">
        <f>IF(AND(MOD(H1586,30)&lt;1.5,MOD(H1586,30)&gt;=0.5),H1586,0)*VLOOKUP(D1586,'报价表-配送'!$B$32:$I$37,4,0)*1000+IF(AND(MOD(H1586,30)&lt;0.5,MOD(H1586,30)&gt;=0.02),H1586,0)*VLOOKUP(D1586,'报价表-配送'!$B$32:$I$37,3,0)*1000+IF(AND(MOD(H1586,30)&lt;0.02),H1586,0)*VLOOKUP(D1586,'报价表-配送'!$B$32:$I$37,2,0)*1000</f>
        <v>0</v>
      </c>
      <c r="N1586" s="38">
        <f t="shared" si="24"/>
        <v>0</v>
      </c>
    </row>
    <row r="1587" spans="1:14" x14ac:dyDescent="0.25">
      <c r="A1587" t="s">
        <v>81</v>
      </c>
      <c r="B1587" s="44" t="s">
        <v>163</v>
      </c>
      <c r="C1587" s="62">
        <f>VLOOKUP(B1587,合并仓明细!$D$2:$F$74,3,0)</f>
        <v>115</v>
      </c>
      <c r="D1587" t="s">
        <v>413</v>
      </c>
      <c r="E1587" s="43" t="s">
        <v>284</v>
      </c>
      <c r="F1587" t="s">
        <v>67</v>
      </c>
      <c r="G1587" s="42">
        <v>817.38</v>
      </c>
      <c r="H1587">
        <v>1.46865</v>
      </c>
      <c r="I1587" s="38">
        <f>IF(H1587&gt;30,QUOTIENT(H1587,30)*VLOOKUP(D1587,'报价表-配送'!$B$32:$I$37,8,0),0)+IF(AND(MOD(H1587,30)&gt;18,MOD(H1587,30)&lt;=30),1,0)*VLOOKUP(D1587,'报价表-配送'!$B$32:$I$37,8,0)</f>
        <v>0</v>
      </c>
      <c r="J1587" s="38">
        <f>IF(AND(MOD(H1587,30)&gt;8,MOD(H1587,30)&lt;=18),1*VLOOKUP(D1587,'报价表-配送'!$B$32:$I$37,7,0),0)</f>
        <v>0</v>
      </c>
      <c r="K1587" s="38">
        <f>IF(AND(MOD(H1587,30)&lt;=8,MOD(H1587,30)&gt;0),1,0)*VLOOKUP(D1587,'报价表-配送'!$B$32:$I$37,6,0)</f>
        <v>0</v>
      </c>
      <c r="L1587" s="33"/>
      <c r="M1587" s="1"/>
      <c r="N1587" s="38">
        <f t="shared" si="24"/>
        <v>0</v>
      </c>
    </row>
    <row r="1588" spans="1:14" x14ac:dyDescent="0.25">
      <c r="A1588" t="s">
        <v>81</v>
      </c>
      <c r="B1588" s="44" t="s">
        <v>163</v>
      </c>
      <c r="C1588" s="62">
        <f>VLOOKUP(B1588,合并仓明细!$D$2:$F$74,3,0)</f>
        <v>115</v>
      </c>
      <c r="D1588" t="s">
        <v>413</v>
      </c>
      <c r="E1588" s="43" t="s">
        <v>284</v>
      </c>
      <c r="F1588" t="s">
        <v>66</v>
      </c>
      <c r="G1588" s="42">
        <v>651.27</v>
      </c>
      <c r="H1588"/>
      <c r="K1588" s="1"/>
      <c r="L1588" s="33"/>
      <c r="M1588" s="1"/>
      <c r="N1588" s="38">
        <f t="shared" si="24"/>
        <v>0</v>
      </c>
    </row>
    <row r="1589" spans="1:14" x14ac:dyDescent="0.25">
      <c r="A1589" t="s">
        <v>81</v>
      </c>
      <c r="B1589" s="44" t="s">
        <v>163</v>
      </c>
      <c r="C1589" s="62">
        <f>VLOOKUP(B1589,合并仓明细!$D$2:$F$74,3,0)</f>
        <v>115</v>
      </c>
      <c r="D1589" t="s">
        <v>413</v>
      </c>
      <c r="E1589" s="43" t="s">
        <v>285</v>
      </c>
      <c r="F1589" t="s">
        <v>66</v>
      </c>
      <c r="G1589" s="42">
        <v>1309.78</v>
      </c>
      <c r="H1589">
        <v>1.3097799999999999</v>
      </c>
      <c r="K1589" s="1"/>
      <c r="L1589" s="37">
        <f>IF(H1589&gt;30,QUOTIENT(H1589,30)*VLOOKUP(D1589,'报价表-配送'!$B$32:$I$37,8,0),0)+IF(AND(MOD(H1589,30)&gt;18,MOD(H1589,30)&lt;=30),1,0)*VLOOKUP(D1589,'报价表-配送'!$B$32:$I$37,8,0)+IF(AND(MOD(H1589,30)&gt;8,MOD(H1589,30)&lt;=18),1*VLOOKUP(D1589,'报价表-配送'!$B$32:$I$37,7,0),0)+IF(AND(MOD(H1589,30)&lt;=8,MOD(H1589,30)&gt;2.5),1,0)*VLOOKUP(D1589,'报价表-配送'!$B$32:$I$37,6,0)+IF(AND(MOD(H1589,30)&lt;=2.5,MOD(H1589,30)&gt;=1.5),1,0)*VLOOKUP(D1589,'报价表-配送'!$B$32:$I$37,5,0)</f>
        <v>0</v>
      </c>
      <c r="M1589" s="39">
        <f>IF(AND(MOD(H1589,30)&lt;1.5,MOD(H1589,30)&gt;=0.5),H1589,0)*VLOOKUP(D1589,'报价表-配送'!$B$32:$I$37,4,0)*1000+IF(AND(MOD(H1589,30)&lt;0.5,MOD(H1589,30)&gt;=0.02),H1589,0)*VLOOKUP(D1589,'报价表-配送'!$B$32:$I$37,3,0)*1000+IF(AND(MOD(H1589,30)&lt;0.02),H1589,0)*VLOOKUP(D1589,'报价表-配送'!$B$32:$I$37,2,0)*1000</f>
        <v>0</v>
      </c>
      <c r="N1589" s="38">
        <f t="shared" si="24"/>
        <v>0</v>
      </c>
    </row>
    <row r="1590" spans="1:14" x14ac:dyDescent="0.25">
      <c r="A1590" t="s">
        <v>81</v>
      </c>
      <c r="B1590" s="44" t="s">
        <v>163</v>
      </c>
      <c r="C1590" s="62">
        <f>VLOOKUP(B1590,合并仓明细!$D$2:$F$74,3,0)</f>
        <v>115</v>
      </c>
      <c r="D1590" t="s">
        <v>413</v>
      </c>
      <c r="E1590" s="43" t="s">
        <v>329</v>
      </c>
      <c r="F1590" t="s">
        <v>66</v>
      </c>
      <c r="G1590" s="42">
        <v>1185.07</v>
      </c>
      <c r="H1590">
        <v>1.1850699999999998</v>
      </c>
      <c r="I1590" s="46"/>
      <c r="K1590" s="1"/>
      <c r="L1590" s="37">
        <f>IF(H1590&gt;30,QUOTIENT(H1590,30)*VLOOKUP(D1590,'报价表-配送'!$B$32:$I$37,8,0),0)+IF(AND(MOD(H1590,30)&gt;18,MOD(H1590,30)&lt;=30),1,0)*VLOOKUP(D1590,'报价表-配送'!$B$32:$I$37,8,0)+IF(AND(MOD(H1590,30)&gt;8,MOD(H1590,30)&lt;=18),1*VLOOKUP(D1590,'报价表-配送'!$B$32:$I$37,7,0),0)+IF(AND(MOD(H1590,30)&lt;=8,MOD(H1590,30)&gt;2.5),1,0)*VLOOKUP(D1590,'报价表-配送'!$B$32:$I$37,6,0)+IF(AND(MOD(H1590,30)&lt;=2.5,MOD(H1590,30)&gt;=1.5),1,0)*VLOOKUP(D1590,'报价表-配送'!$B$32:$I$37,5,0)</f>
        <v>0</v>
      </c>
      <c r="M1590" s="39">
        <f>IF(AND(MOD(H1590,30)&lt;1.5,MOD(H1590,30)&gt;=0.5),H1590,0)*VLOOKUP(D1590,'报价表-配送'!$B$32:$I$37,4,0)*1000+IF(AND(MOD(H1590,30)&lt;0.5,MOD(H1590,30)&gt;=0.02),H1590,0)*VLOOKUP(D1590,'报价表-配送'!$B$32:$I$37,3,0)*1000+IF(AND(MOD(H1590,30)&lt;0.02),H1590,0)*VLOOKUP(D1590,'报价表-配送'!$B$32:$I$37,2,0)*1000</f>
        <v>0</v>
      </c>
      <c r="N1590" s="38">
        <f t="shared" si="24"/>
        <v>0</v>
      </c>
    </row>
    <row r="1591" spans="1:14" x14ac:dyDescent="0.25">
      <c r="A1591" t="s">
        <v>81</v>
      </c>
      <c r="B1591" s="44" t="s">
        <v>163</v>
      </c>
      <c r="C1591" s="62">
        <f>VLOOKUP(B1591,合并仓明细!$D$2:$F$74,3,0)</f>
        <v>115</v>
      </c>
      <c r="D1591" t="s">
        <v>413</v>
      </c>
      <c r="E1591" s="43" t="s">
        <v>375</v>
      </c>
      <c r="F1591" t="s">
        <v>67</v>
      </c>
      <c r="G1591" s="42">
        <v>800.97</v>
      </c>
      <c r="H1591">
        <v>6.95059</v>
      </c>
      <c r="I1591" s="38">
        <f>IF(H1591&gt;30,QUOTIENT(H1591,30)*VLOOKUP(D1591,'报价表-配送'!$B$32:$I$37,8,0),0)+IF(AND(MOD(H1591,30)&gt;18,MOD(H1591,30)&lt;=30),1,0)*VLOOKUP(D1591,'报价表-配送'!$B$32:$I$37,8,0)</f>
        <v>0</v>
      </c>
      <c r="J1591" s="38">
        <f>IF(AND(MOD(H1591,30)&gt;8,MOD(H1591,30)&lt;=18),1*VLOOKUP(D1591,'报价表-配送'!$B$32:$I$37,7,0),0)</f>
        <v>0</v>
      </c>
      <c r="K1591" s="38">
        <f>IF(AND(MOD(H1591,30)&lt;=8,MOD(H1591,30)&gt;0),1,0)*VLOOKUP(D1591,'报价表-配送'!$B$32:$I$37,6,0)</f>
        <v>0</v>
      </c>
      <c r="L1591" s="33"/>
      <c r="M1591" s="1"/>
      <c r="N1591" s="38">
        <f t="shared" si="24"/>
        <v>0</v>
      </c>
    </row>
    <row r="1592" spans="1:14" x14ac:dyDescent="0.25">
      <c r="A1592" t="s">
        <v>81</v>
      </c>
      <c r="B1592" s="44" t="s">
        <v>163</v>
      </c>
      <c r="C1592" s="62">
        <f>VLOOKUP(B1592,合并仓明细!$D$2:$F$74,3,0)</f>
        <v>115</v>
      </c>
      <c r="D1592" t="s">
        <v>413</v>
      </c>
      <c r="E1592" s="43" t="s">
        <v>375</v>
      </c>
      <c r="F1592" t="s">
        <v>66</v>
      </c>
      <c r="G1592" s="42">
        <v>6149.62</v>
      </c>
      <c r="H1592"/>
      <c r="K1592" s="1"/>
      <c r="L1592" s="33"/>
      <c r="M1592" s="1"/>
      <c r="N1592" s="38">
        <f t="shared" si="24"/>
        <v>0</v>
      </c>
    </row>
    <row r="1593" spans="1:14" x14ac:dyDescent="0.25">
      <c r="A1593" t="s">
        <v>81</v>
      </c>
      <c r="B1593" s="44" t="s">
        <v>163</v>
      </c>
      <c r="C1593" s="62">
        <f>VLOOKUP(B1593,合并仓明细!$D$2:$F$74,3,0)</f>
        <v>115</v>
      </c>
      <c r="D1593" t="s">
        <v>413</v>
      </c>
      <c r="E1593" s="43" t="s">
        <v>378</v>
      </c>
      <c r="F1593" t="s">
        <v>68</v>
      </c>
      <c r="G1593" s="42">
        <v>629.16999999999996</v>
      </c>
      <c r="H1593">
        <v>3.0069600000000007</v>
      </c>
      <c r="I1593" s="46">
        <f>ROUNDUP(H1593/30,0)*VLOOKUP(D1593,'报价表-配送'!$B$32:$I$37,8,0)</f>
        <v>0</v>
      </c>
      <c r="K1593" s="1"/>
      <c r="L1593" s="33"/>
      <c r="M1593" s="1"/>
      <c r="N1593" s="38">
        <f t="shared" si="24"/>
        <v>0</v>
      </c>
    </row>
    <row r="1594" spans="1:14" x14ac:dyDescent="0.25">
      <c r="A1594" t="s">
        <v>81</v>
      </c>
      <c r="B1594" s="44" t="s">
        <v>163</v>
      </c>
      <c r="C1594" s="62">
        <f>VLOOKUP(B1594,合并仓明细!$D$2:$F$74,3,0)</f>
        <v>115</v>
      </c>
      <c r="D1594" t="s">
        <v>413</v>
      </c>
      <c r="E1594" s="43" t="s">
        <v>378</v>
      </c>
      <c r="F1594" t="s">
        <v>67</v>
      </c>
      <c r="G1594" s="42">
        <v>209.23</v>
      </c>
      <c r="H1594"/>
      <c r="K1594" s="1"/>
      <c r="L1594" s="33"/>
      <c r="M1594" s="1"/>
      <c r="N1594" s="38">
        <f t="shared" si="24"/>
        <v>0</v>
      </c>
    </row>
    <row r="1595" spans="1:14" x14ac:dyDescent="0.25">
      <c r="A1595" t="s">
        <v>81</v>
      </c>
      <c r="B1595" s="44" t="s">
        <v>163</v>
      </c>
      <c r="C1595" s="62">
        <f>VLOOKUP(B1595,合并仓明细!$D$2:$F$74,3,0)</f>
        <v>115</v>
      </c>
      <c r="D1595" t="s">
        <v>413</v>
      </c>
      <c r="E1595" s="43" t="s">
        <v>378</v>
      </c>
      <c r="F1595" t="s">
        <v>66</v>
      </c>
      <c r="G1595" s="42">
        <v>2168.5600000000009</v>
      </c>
      <c r="H1595"/>
      <c r="K1595" s="1"/>
      <c r="L1595" s="33"/>
      <c r="M1595" s="1"/>
      <c r="N1595" s="38">
        <f t="shared" si="24"/>
        <v>0</v>
      </c>
    </row>
    <row r="1596" spans="1:14" x14ac:dyDescent="0.25">
      <c r="A1596" t="s">
        <v>81</v>
      </c>
      <c r="B1596" s="44" t="s">
        <v>163</v>
      </c>
      <c r="C1596" s="62">
        <f>VLOOKUP(B1596,合并仓明细!$D$2:$F$74,3,0)</f>
        <v>115</v>
      </c>
      <c r="D1596" t="s">
        <v>413</v>
      </c>
      <c r="E1596" s="43" t="s">
        <v>286</v>
      </c>
      <c r="F1596" t="s">
        <v>66</v>
      </c>
      <c r="G1596" s="42">
        <v>863.57</v>
      </c>
      <c r="H1596">
        <v>0.86357000000000006</v>
      </c>
      <c r="I1596" s="46"/>
      <c r="K1596" s="1"/>
      <c r="L1596" s="37">
        <f>IF(H1596&gt;30,QUOTIENT(H1596,30)*VLOOKUP(D1596,'报价表-配送'!$B$32:$I$37,8,0),0)+IF(AND(MOD(H1596,30)&gt;18,MOD(H1596,30)&lt;=30),1,0)*VLOOKUP(D1596,'报价表-配送'!$B$32:$I$37,8,0)+IF(AND(MOD(H1596,30)&gt;8,MOD(H1596,30)&lt;=18),1*VLOOKUP(D1596,'报价表-配送'!$B$32:$I$37,7,0),0)+IF(AND(MOD(H1596,30)&lt;=8,MOD(H1596,30)&gt;2.5),1,0)*VLOOKUP(D1596,'报价表-配送'!$B$32:$I$37,6,0)+IF(AND(MOD(H1596,30)&lt;=2.5,MOD(H1596,30)&gt;=1.5),1,0)*VLOOKUP(D1596,'报价表-配送'!$B$32:$I$37,5,0)</f>
        <v>0</v>
      </c>
      <c r="M1596" s="39">
        <f>IF(AND(MOD(H1596,30)&lt;1.5,MOD(H1596,30)&gt;=0.5),H1596,0)*VLOOKUP(D1596,'报价表-配送'!$B$32:$I$37,4,0)*1000+IF(AND(MOD(H1596,30)&lt;0.5,MOD(H1596,30)&gt;=0.02),H1596,0)*VLOOKUP(D1596,'报价表-配送'!$B$32:$I$37,3,0)*1000+IF(AND(MOD(H1596,30)&lt;0.02),H1596,0)*VLOOKUP(D1596,'报价表-配送'!$B$32:$I$37,2,0)*1000</f>
        <v>0</v>
      </c>
      <c r="N1596" s="38">
        <f t="shared" si="24"/>
        <v>0</v>
      </c>
    </row>
    <row r="1597" spans="1:14" x14ac:dyDescent="0.25">
      <c r="A1597" t="s">
        <v>81</v>
      </c>
      <c r="B1597" s="44" t="s">
        <v>163</v>
      </c>
      <c r="C1597" s="62">
        <f>VLOOKUP(B1597,合并仓明细!$D$2:$F$74,3,0)</f>
        <v>115</v>
      </c>
      <c r="D1597" t="s">
        <v>413</v>
      </c>
      <c r="E1597" s="43" t="s">
        <v>287</v>
      </c>
      <c r="F1597" t="s">
        <v>67</v>
      </c>
      <c r="G1597" s="42">
        <v>2401</v>
      </c>
      <c r="H1597">
        <v>2.80227</v>
      </c>
      <c r="I1597" s="38">
        <f>IF(H1597&gt;30,QUOTIENT(H1597,30)*VLOOKUP(D1597,'报价表-配送'!$B$32:$I$37,8,0),0)+IF(AND(MOD(H1597,30)&gt;18,MOD(H1597,30)&lt;=30),1,0)*VLOOKUP(D1597,'报价表-配送'!$B$32:$I$37,8,0)</f>
        <v>0</v>
      </c>
      <c r="J1597" s="38">
        <f>IF(AND(MOD(H1597,30)&gt;8,MOD(H1597,30)&lt;=18),1*VLOOKUP(D1597,'报价表-配送'!$B$32:$I$37,7,0),0)</f>
        <v>0</v>
      </c>
      <c r="K1597" s="38">
        <f>IF(AND(MOD(H1597,30)&lt;=8,MOD(H1597,30)&gt;0),1,0)*VLOOKUP(D1597,'报价表-配送'!$B$32:$I$37,6,0)</f>
        <v>0</v>
      </c>
      <c r="L1597" s="33"/>
      <c r="M1597" s="1"/>
      <c r="N1597" s="38">
        <f t="shared" si="24"/>
        <v>0</v>
      </c>
    </row>
    <row r="1598" spans="1:14" x14ac:dyDescent="0.25">
      <c r="A1598" t="s">
        <v>81</v>
      </c>
      <c r="B1598" s="44" t="s">
        <v>163</v>
      </c>
      <c r="C1598" s="62">
        <f>VLOOKUP(B1598,合并仓明细!$D$2:$F$74,3,0)</f>
        <v>115</v>
      </c>
      <c r="D1598" t="s">
        <v>413</v>
      </c>
      <c r="E1598" s="43" t="s">
        <v>287</v>
      </c>
      <c r="F1598" t="s">
        <v>66</v>
      </c>
      <c r="G1598" s="42">
        <v>401.27000000000004</v>
      </c>
      <c r="H1598"/>
      <c r="K1598" s="1"/>
      <c r="L1598" s="33"/>
      <c r="M1598" s="1"/>
      <c r="N1598" s="38">
        <f t="shared" si="24"/>
        <v>0</v>
      </c>
    </row>
    <row r="1599" spans="1:14" x14ac:dyDescent="0.25">
      <c r="A1599" t="s">
        <v>81</v>
      </c>
      <c r="B1599" s="44" t="s">
        <v>163</v>
      </c>
      <c r="C1599" s="62">
        <f>VLOOKUP(B1599,合并仓明细!$D$2:$F$74,3,0)</f>
        <v>115</v>
      </c>
      <c r="D1599" t="s">
        <v>413</v>
      </c>
      <c r="E1599" s="43" t="s">
        <v>324</v>
      </c>
      <c r="F1599" t="s">
        <v>66</v>
      </c>
      <c r="G1599" s="42">
        <v>1.1000000000000001</v>
      </c>
      <c r="H1599">
        <v>1.1000000000000001E-3</v>
      </c>
      <c r="I1599" s="46"/>
      <c r="K1599" s="1"/>
      <c r="L1599" s="37">
        <f>IF(H1599&gt;30,QUOTIENT(H1599,30)*VLOOKUP(D1599,'报价表-配送'!$B$32:$I$37,8,0),0)+IF(AND(MOD(H1599,30)&gt;18,MOD(H1599,30)&lt;=30),1,0)*VLOOKUP(D1599,'报价表-配送'!$B$32:$I$37,8,0)+IF(AND(MOD(H1599,30)&gt;8,MOD(H1599,30)&lt;=18),1*VLOOKUP(D1599,'报价表-配送'!$B$32:$I$37,7,0),0)+IF(AND(MOD(H1599,30)&lt;=8,MOD(H1599,30)&gt;2.5),1,0)*VLOOKUP(D1599,'报价表-配送'!$B$32:$I$37,6,0)+IF(AND(MOD(H1599,30)&lt;=2.5,MOD(H1599,30)&gt;=1.5),1,0)*VLOOKUP(D1599,'报价表-配送'!$B$32:$I$37,5,0)</f>
        <v>0</v>
      </c>
      <c r="M1599" s="39">
        <f>IF(AND(MOD(H1599,30)&lt;1.5,MOD(H1599,30)&gt;=0.5),H1599,0)*VLOOKUP(D1599,'报价表-配送'!$B$32:$I$37,4,0)*1000+IF(AND(MOD(H1599,30)&lt;0.5,MOD(H1599,30)&gt;=0.02),H1599,0)*VLOOKUP(D1599,'报价表-配送'!$B$32:$I$37,3,0)*1000+IF(AND(MOD(H1599,30)&lt;0.02),H1599,0)*VLOOKUP(D1599,'报价表-配送'!$B$32:$I$37,2,0)*1000</f>
        <v>0</v>
      </c>
      <c r="N1599" s="38">
        <f t="shared" si="24"/>
        <v>0</v>
      </c>
    </row>
    <row r="1600" spans="1:14" x14ac:dyDescent="0.25">
      <c r="A1600" t="s">
        <v>81</v>
      </c>
      <c r="B1600" s="44" t="s">
        <v>163</v>
      </c>
      <c r="C1600" s="62">
        <f>VLOOKUP(B1600,合并仓明细!$D$2:$F$74,3,0)</f>
        <v>115</v>
      </c>
      <c r="D1600" t="s">
        <v>413</v>
      </c>
      <c r="E1600" s="43" t="s">
        <v>372</v>
      </c>
      <c r="F1600" t="s">
        <v>66</v>
      </c>
      <c r="G1600" s="42">
        <v>31.779999999999998</v>
      </c>
      <c r="H1600">
        <v>3.1779999999999996E-2</v>
      </c>
      <c r="K1600" s="1"/>
      <c r="L1600" s="37">
        <f>IF(H1600&gt;30,QUOTIENT(H1600,30)*VLOOKUP(D1600,'报价表-配送'!$B$32:$I$37,8,0),0)+IF(AND(MOD(H1600,30)&gt;18,MOD(H1600,30)&lt;=30),1,0)*VLOOKUP(D1600,'报价表-配送'!$B$32:$I$37,8,0)+IF(AND(MOD(H1600,30)&gt;8,MOD(H1600,30)&lt;=18),1*VLOOKUP(D1600,'报价表-配送'!$B$32:$I$37,7,0),0)+IF(AND(MOD(H1600,30)&lt;=8,MOD(H1600,30)&gt;2.5),1,0)*VLOOKUP(D1600,'报价表-配送'!$B$32:$I$37,6,0)+IF(AND(MOD(H1600,30)&lt;=2.5,MOD(H1600,30)&gt;=1.5),1,0)*VLOOKUP(D1600,'报价表-配送'!$B$32:$I$37,5,0)</f>
        <v>0</v>
      </c>
      <c r="M1600" s="39">
        <f>IF(AND(MOD(H1600,30)&lt;1.5,MOD(H1600,30)&gt;=0.5),H1600,0)*VLOOKUP(D1600,'报价表-配送'!$B$32:$I$37,4,0)*1000+IF(AND(MOD(H1600,30)&lt;0.5,MOD(H1600,30)&gt;=0.02),H1600,0)*VLOOKUP(D1600,'报价表-配送'!$B$32:$I$37,3,0)*1000+IF(AND(MOD(H1600,30)&lt;0.02),H1600,0)*VLOOKUP(D1600,'报价表-配送'!$B$32:$I$37,2,0)*1000</f>
        <v>0</v>
      </c>
      <c r="N1600" s="38">
        <f t="shared" si="24"/>
        <v>0</v>
      </c>
    </row>
    <row r="1601" spans="1:14" x14ac:dyDescent="0.25">
      <c r="A1601" t="s">
        <v>81</v>
      </c>
      <c r="B1601" s="44" t="s">
        <v>163</v>
      </c>
      <c r="C1601" s="62">
        <f>VLOOKUP(B1601,合并仓明细!$D$2:$F$74,3,0)</f>
        <v>115</v>
      </c>
      <c r="D1601" t="s">
        <v>413</v>
      </c>
      <c r="E1601" s="43" t="s">
        <v>247</v>
      </c>
      <c r="F1601" t="s">
        <v>66</v>
      </c>
      <c r="G1601" s="42">
        <v>464.66999999999996</v>
      </c>
      <c r="H1601">
        <v>0.46466999999999997</v>
      </c>
      <c r="K1601" s="1"/>
      <c r="L1601" s="37">
        <f>IF(H1601&gt;30,QUOTIENT(H1601,30)*VLOOKUP(D1601,'报价表-配送'!$B$32:$I$37,8,0),0)+IF(AND(MOD(H1601,30)&gt;18,MOD(H1601,30)&lt;=30),1,0)*VLOOKUP(D1601,'报价表-配送'!$B$32:$I$37,8,0)+IF(AND(MOD(H1601,30)&gt;8,MOD(H1601,30)&lt;=18),1*VLOOKUP(D1601,'报价表-配送'!$B$32:$I$37,7,0),0)+IF(AND(MOD(H1601,30)&lt;=8,MOD(H1601,30)&gt;2.5),1,0)*VLOOKUP(D1601,'报价表-配送'!$B$32:$I$37,6,0)+IF(AND(MOD(H1601,30)&lt;=2.5,MOD(H1601,30)&gt;=1.5),1,0)*VLOOKUP(D1601,'报价表-配送'!$B$32:$I$37,5,0)</f>
        <v>0</v>
      </c>
      <c r="M1601" s="39">
        <f>IF(AND(MOD(H1601,30)&lt;1.5,MOD(H1601,30)&gt;=0.5),H1601,0)*VLOOKUP(D1601,'报价表-配送'!$B$32:$I$37,4,0)*1000+IF(AND(MOD(H1601,30)&lt;0.5,MOD(H1601,30)&gt;=0.02),H1601,0)*VLOOKUP(D1601,'报价表-配送'!$B$32:$I$37,3,0)*1000+IF(AND(MOD(H1601,30)&lt;0.02),H1601,0)*VLOOKUP(D1601,'报价表-配送'!$B$32:$I$37,2,0)*1000</f>
        <v>0</v>
      </c>
      <c r="N1601" s="38">
        <f t="shared" si="24"/>
        <v>0</v>
      </c>
    </row>
    <row r="1602" spans="1:14" x14ac:dyDescent="0.25">
      <c r="A1602" t="s">
        <v>81</v>
      </c>
      <c r="B1602" s="44" t="s">
        <v>163</v>
      </c>
      <c r="C1602" s="62">
        <f>VLOOKUP(B1602,合并仓明细!$D$2:$F$74,3,0)</f>
        <v>115</v>
      </c>
      <c r="D1602" t="s">
        <v>413</v>
      </c>
      <c r="E1602" s="43" t="s">
        <v>289</v>
      </c>
      <c r="F1602" t="s">
        <v>66</v>
      </c>
      <c r="G1602" s="42">
        <v>286.27</v>
      </c>
      <c r="H1602">
        <v>0.28626999999999997</v>
      </c>
      <c r="I1602" s="46"/>
      <c r="K1602" s="1"/>
      <c r="L1602" s="37">
        <f>IF(H1602&gt;30,QUOTIENT(H1602,30)*VLOOKUP(D1602,'报价表-配送'!$B$32:$I$37,8,0),0)+IF(AND(MOD(H1602,30)&gt;18,MOD(H1602,30)&lt;=30),1,0)*VLOOKUP(D1602,'报价表-配送'!$B$32:$I$37,8,0)+IF(AND(MOD(H1602,30)&gt;8,MOD(H1602,30)&lt;=18),1*VLOOKUP(D1602,'报价表-配送'!$B$32:$I$37,7,0),0)+IF(AND(MOD(H1602,30)&lt;=8,MOD(H1602,30)&gt;2.5),1,0)*VLOOKUP(D1602,'报价表-配送'!$B$32:$I$37,6,0)+IF(AND(MOD(H1602,30)&lt;=2.5,MOD(H1602,30)&gt;=1.5),1,0)*VLOOKUP(D1602,'报价表-配送'!$B$32:$I$37,5,0)</f>
        <v>0</v>
      </c>
      <c r="M1602" s="39">
        <f>IF(AND(MOD(H1602,30)&lt;1.5,MOD(H1602,30)&gt;=0.5),H1602,0)*VLOOKUP(D1602,'报价表-配送'!$B$32:$I$37,4,0)*1000+IF(AND(MOD(H1602,30)&lt;0.5,MOD(H1602,30)&gt;=0.02),H1602,0)*VLOOKUP(D1602,'报价表-配送'!$B$32:$I$37,3,0)*1000+IF(AND(MOD(H1602,30)&lt;0.02),H1602,0)*VLOOKUP(D1602,'报价表-配送'!$B$32:$I$37,2,0)*1000</f>
        <v>0</v>
      </c>
      <c r="N1602" s="38">
        <f t="shared" si="24"/>
        <v>0</v>
      </c>
    </row>
    <row r="1603" spans="1:14" x14ac:dyDescent="0.25">
      <c r="A1603" t="s">
        <v>81</v>
      </c>
      <c r="B1603" s="44" t="s">
        <v>163</v>
      </c>
      <c r="C1603" s="62">
        <f>VLOOKUP(B1603,合并仓明细!$D$2:$F$74,3,0)</f>
        <v>115</v>
      </c>
      <c r="D1603" t="s">
        <v>413</v>
      </c>
      <c r="E1603" s="43" t="s">
        <v>349</v>
      </c>
      <c r="F1603" t="s">
        <v>68</v>
      </c>
      <c r="G1603" s="42">
        <v>995.86</v>
      </c>
      <c r="H1603">
        <v>4.5836800000000002</v>
      </c>
      <c r="I1603" s="46">
        <f>ROUNDUP(H1603/30,0)*VLOOKUP(D1603,'报价表-配送'!$B$32:$I$37,8,0)</f>
        <v>0</v>
      </c>
      <c r="K1603" s="1"/>
      <c r="L1603" s="33"/>
      <c r="M1603" s="1"/>
      <c r="N1603" s="38">
        <f t="shared" si="24"/>
        <v>0</v>
      </c>
    </row>
    <row r="1604" spans="1:14" x14ac:dyDescent="0.25">
      <c r="A1604" t="s">
        <v>81</v>
      </c>
      <c r="B1604" s="51" t="s">
        <v>163</v>
      </c>
      <c r="C1604" s="62">
        <f>VLOOKUP(B1604,合并仓明细!$D$2:$F$74,3,0)</f>
        <v>115</v>
      </c>
      <c r="D1604" t="s">
        <v>413</v>
      </c>
      <c r="E1604" s="43" t="s">
        <v>349</v>
      </c>
      <c r="F1604" t="s">
        <v>67</v>
      </c>
      <c r="G1604" s="42">
        <v>2126.33</v>
      </c>
      <c r="H1604"/>
      <c r="K1604" s="1"/>
      <c r="L1604" s="33"/>
      <c r="M1604" s="1"/>
      <c r="N1604" s="38">
        <f t="shared" si="24"/>
        <v>0</v>
      </c>
    </row>
    <row r="1605" spans="1:14" x14ac:dyDescent="0.25">
      <c r="A1605" t="s">
        <v>81</v>
      </c>
      <c r="B1605" s="44" t="s">
        <v>163</v>
      </c>
      <c r="C1605" s="62">
        <f>VLOOKUP(B1605,合并仓明细!$D$2:$F$74,3,0)</f>
        <v>115</v>
      </c>
      <c r="D1605" t="s">
        <v>413</v>
      </c>
      <c r="E1605" s="43" t="s">
        <v>349</v>
      </c>
      <c r="F1605" t="s">
        <v>66</v>
      </c>
      <c r="G1605" s="42">
        <v>1461.4900000000002</v>
      </c>
      <c r="H1605"/>
      <c r="I1605" s="38"/>
      <c r="J1605" s="38"/>
      <c r="K1605" s="38"/>
      <c r="L1605" s="33"/>
      <c r="M1605" s="1"/>
      <c r="N1605" s="38">
        <f t="shared" si="24"/>
        <v>0</v>
      </c>
    </row>
    <row r="1606" spans="1:14" x14ac:dyDescent="0.25">
      <c r="A1606" t="s">
        <v>81</v>
      </c>
      <c r="B1606" s="43" t="s">
        <v>163</v>
      </c>
      <c r="C1606" s="62">
        <f>VLOOKUP(B1606,合并仓明细!$D$2:$F$74,3,0)</f>
        <v>115</v>
      </c>
      <c r="D1606" t="s">
        <v>413</v>
      </c>
      <c r="E1606" s="43" t="s">
        <v>315</v>
      </c>
      <c r="F1606" t="s">
        <v>67</v>
      </c>
      <c r="G1606" s="42">
        <v>0</v>
      </c>
      <c r="H1606">
        <v>0.74816000000000005</v>
      </c>
      <c r="I1606" s="38">
        <f>IF(H1606&gt;30,QUOTIENT(H1606,30)*VLOOKUP(D1606,'报价表-配送'!$B$32:$I$37,8,0),0)+IF(AND(MOD(H1606,30)&gt;18,MOD(H1606,30)&lt;=30),1,0)*VLOOKUP(D1606,'报价表-配送'!$B$32:$I$37,8,0)</f>
        <v>0</v>
      </c>
      <c r="J1606" s="38">
        <f>IF(AND(MOD(H1606,30)&gt;8,MOD(H1606,30)&lt;=18),1*VLOOKUP(D1606,'报价表-配送'!$B$32:$I$37,7,0),0)</f>
        <v>0</v>
      </c>
      <c r="K1606" s="38">
        <f>IF(AND(MOD(H1606,30)&lt;=8,MOD(H1606,30)&gt;0),1,0)*VLOOKUP(D1606,'报价表-配送'!$B$32:$I$37,6,0)</f>
        <v>0</v>
      </c>
      <c r="L1606" s="33"/>
      <c r="M1606" s="1"/>
      <c r="N1606" s="38">
        <f t="shared" si="24"/>
        <v>0</v>
      </c>
    </row>
    <row r="1607" spans="1:14" x14ac:dyDescent="0.25">
      <c r="A1607" t="s">
        <v>81</v>
      </c>
      <c r="B1607" s="43" t="s">
        <v>163</v>
      </c>
      <c r="C1607" s="62">
        <f>VLOOKUP(B1607,合并仓明细!$D$2:$F$74,3,0)</f>
        <v>115</v>
      </c>
      <c r="D1607" t="s">
        <v>413</v>
      </c>
      <c r="E1607" s="43" t="s">
        <v>315</v>
      </c>
      <c r="F1607" t="s">
        <v>66</v>
      </c>
      <c r="G1607" s="42">
        <v>748.16000000000008</v>
      </c>
      <c r="H1607"/>
      <c r="K1607" s="1"/>
      <c r="L1607" s="37"/>
      <c r="M1607" s="39"/>
      <c r="N1607" s="38">
        <f t="shared" si="24"/>
        <v>0</v>
      </c>
    </row>
    <row r="1608" spans="1:14" x14ac:dyDescent="0.25">
      <c r="A1608" t="s">
        <v>81</v>
      </c>
      <c r="B1608" s="43" t="s">
        <v>163</v>
      </c>
      <c r="C1608" s="62">
        <f>VLOOKUP(B1608,合并仓明细!$D$2:$F$74,3,0)</f>
        <v>115</v>
      </c>
      <c r="D1608" t="s">
        <v>413</v>
      </c>
      <c r="E1608" s="43" t="s">
        <v>290</v>
      </c>
      <c r="F1608" t="s">
        <v>67</v>
      </c>
      <c r="G1608" s="42">
        <v>22424.49</v>
      </c>
      <c r="H1608">
        <v>23.509930000000001</v>
      </c>
      <c r="I1608" s="38">
        <f>IF(H1608&gt;30,QUOTIENT(H1608,30)*VLOOKUP(D1608,'报价表-配送'!$B$32:$I$37,8,0),0)+IF(AND(MOD(H1608,30)&gt;18,MOD(H1608,30)&lt;=30),1,0)*VLOOKUP(D1608,'报价表-配送'!$B$32:$I$37,8,0)</f>
        <v>0</v>
      </c>
      <c r="J1608" s="38">
        <f>IF(AND(MOD(H1608,30)&gt;8,MOD(H1608,30)&lt;=18),1*VLOOKUP(D1608,'报价表-配送'!$B$32:$I$37,7,0),0)</f>
        <v>0</v>
      </c>
      <c r="K1608" s="38">
        <f>IF(AND(MOD(H1608,30)&lt;=8,MOD(H1608,30)&gt;0),1,0)*VLOOKUP(D1608,'报价表-配送'!$B$32:$I$37,6,0)</f>
        <v>0</v>
      </c>
      <c r="L1608" s="33"/>
      <c r="M1608" s="1"/>
      <c r="N1608" s="38">
        <f t="shared" si="24"/>
        <v>0</v>
      </c>
    </row>
    <row r="1609" spans="1:14" x14ac:dyDescent="0.25">
      <c r="A1609" t="s">
        <v>81</v>
      </c>
      <c r="B1609" s="43" t="s">
        <v>163</v>
      </c>
      <c r="C1609" s="62">
        <f>VLOOKUP(B1609,合并仓明细!$D$2:$F$74,3,0)</f>
        <v>115</v>
      </c>
      <c r="D1609" t="s">
        <v>413</v>
      </c>
      <c r="E1609" s="43" t="s">
        <v>290</v>
      </c>
      <c r="F1609" t="s">
        <v>66</v>
      </c>
      <c r="G1609" s="42">
        <v>1085.44</v>
      </c>
      <c r="H1609"/>
      <c r="K1609" s="1"/>
      <c r="L1609" s="33"/>
      <c r="M1609" s="1"/>
      <c r="N1609" s="38">
        <f t="shared" si="24"/>
        <v>0</v>
      </c>
    </row>
    <row r="1610" spans="1:14" x14ac:dyDescent="0.25">
      <c r="A1610" t="s">
        <v>81</v>
      </c>
      <c r="B1610" s="43" t="s">
        <v>163</v>
      </c>
      <c r="C1610" s="62">
        <f>VLOOKUP(B1610,合并仓明细!$D$2:$F$74,3,0)</f>
        <v>115</v>
      </c>
      <c r="D1610" t="s">
        <v>413</v>
      </c>
      <c r="E1610" s="43" t="s">
        <v>340</v>
      </c>
      <c r="F1610" t="s">
        <v>66</v>
      </c>
      <c r="G1610" s="42">
        <v>686.08</v>
      </c>
      <c r="H1610">
        <v>0.68608000000000002</v>
      </c>
      <c r="K1610" s="1"/>
      <c r="L1610" s="37">
        <f>IF(H1610&gt;30,QUOTIENT(H1610,30)*VLOOKUP(D1610,'报价表-配送'!$B$32:$I$37,8,0),0)+IF(AND(MOD(H1610,30)&gt;18,MOD(H1610,30)&lt;=30),1,0)*VLOOKUP(D1610,'报价表-配送'!$B$32:$I$37,8,0)+IF(AND(MOD(H1610,30)&gt;8,MOD(H1610,30)&lt;=18),1*VLOOKUP(D1610,'报价表-配送'!$B$32:$I$37,7,0),0)+IF(AND(MOD(H1610,30)&lt;=8,MOD(H1610,30)&gt;2.5),1,0)*VLOOKUP(D1610,'报价表-配送'!$B$32:$I$37,6,0)+IF(AND(MOD(H1610,30)&lt;=2.5,MOD(H1610,30)&gt;=1.5),1,0)*VLOOKUP(D1610,'报价表-配送'!$B$32:$I$37,5,0)</f>
        <v>0</v>
      </c>
      <c r="M1610" s="39">
        <f>IF(AND(MOD(H1610,30)&lt;1.5,MOD(H1610,30)&gt;=0.5),H1610,0)*VLOOKUP(D1610,'报价表-配送'!$B$32:$I$37,4,0)*1000+IF(AND(MOD(H1610,30)&lt;0.5,MOD(H1610,30)&gt;=0.02),H1610,0)*VLOOKUP(D1610,'报价表-配送'!$B$32:$I$37,3,0)*1000+IF(AND(MOD(H1610,30)&lt;0.02),H1610,0)*VLOOKUP(D1610,'报价表-配送'!$B$32:$I$37,2,0)*1000</f>
        <v>0</v>
      </c>
      <c r="N1610" s="38">
        <f t="shared" si="24"/>
        <v>0</v>
      </c>
    </row>
    <row r="1611" spans="1:14" x14ac:dyDescent="0.25">
      <c r="A1611" t="s">
        <v>81</v>
      </c>
      <c r="B1611" s="43" t="s">
        <v>163</v>
      </c>
      <c r="C1611" s="62">
        <f>VLOOKUP(B1611,合并仓明细!$D$2:$F$74,3,0)</f>
        <v>115</v>
      </c>
      <c r="D1611" t="s">
        <v>413</v>
      </c>
      <c r="E1611" s="43" t="s">
        <v>316</v>
      </c>
      <c r="F1611" t="s">
        <v>66</v>
      </c>
      <c r="G1611" s="42">
        <v>997.5</v>
      </c>
      <c r="H1611">
        <v>0.99750000000000005</v>
      </c>
      <c r="I1611" s="46"/>
      <c r="K1611" s="1"/>
      <c r="L1611" s="37">
        <f>IF(H1611&gt;30,QUOTIENT(H1611,30)*VLOOKUP(D1611,'报价表-配送'!$B$32:$I$37,8,0),0)+IF(AND(MOD(H1611,30)&gt;18,MOD(H1611,30)&lt;=30),1,0)*VLOOKUP(D1611,'报价表-配送'!$B$32:$I$37,8,0)+IF(AND(MOD(H1611,30)&gt;8,MOD(H1611,30)&lt;=18),1*VLOOKUP(D1611,'报价表-配送'!$B$32:$I$37,7,0),0)+IF(AND(MOD(H1611,30)&lt;=8,MOD(H1611,30)&gt;2.5),1,0)*VLOOKUP(D1611,'报价表-配送'!$B$32:$I$37,6,0)+IF(AND(MOD(H1611,30)&lt;=2.5,MOD(H1611,30)&gt;=1.5),1,0)*VLOOKUP(D1611,'报价表-配送'!$B$32:$I$37,5,0)</f>
        <v>0</v>
      </c>
      <c r="M1611" s="39">
        <f>IF(AND(MOD(H1611,30)&lt;1.5,MOD(H1611,30)&gt;=0.5),H1611,0)*VLOOKUP(D1611,'报价表-配送'!$B$32:$I$37,4,0)*1000+IF(AND(MOD(H1611,30)&lt;0.5,MOD(H1611,30)&gt;=0.02),H1611,0)*VLOOKUP(D1611,'报价表-配送'!$B$32:$I$37,3,0)*1000+IF(AND(MOD(H1611,30)&lt;0.02),H1611,0)*VLOOKUP(D1611,'报价表-配送'!$B$32:$I$37,2,0)*1000</f>
        <v>0</v>
      </c>
      <c r="N1611" s="38">
        <f t="shared" si="24"/>
        <v>0</v>
      </c>
    </row>
    <row r="1612" spans="1:14" x14ac:dyDescent="0.25">
      <c r="A1612" t="s">
        <v>81</v>
      </c>
      <c r="B1612" s="43" t="s">
        <v>163</v>
      </c>
      <c r="C1612" s="62">
        <f>VLOOKUP(B1612,合并仓明细!$D$2:$F$74,3,0)</f>
        <v>115</v>
      </c>
      <c r="D1612" t="s">
        <v>413</v>
      </c>
      <c r="E1612" s="43" t="s">
        <v>248</v>
      </c>
      <c r="F1612" t="s">
        <v>67</v>
      </c>
      <c r="G1612" s="42">
        <v>5414.57</v>
      </c>
      <c r="H1612">
        <v>7.6124999999999998</v>
      </c>
      <c r="I1612" s="38">
        <f>IF(H1612&gt;30,QUOTIENT(H1612,30)*VLOOKUP(D1612,'报价表-配送'!$B$32:$I$37,8,0),0)+IF(AND(MOD(H1612,30)&gt;18,MOD(H1612,30)&lt;=30),1,0)*VLOOKUP(D1612,'报价表-配送'!$B$32:$I$37,8,0)</f>
        <v>0</v>
      </c>
      <c r="J1612" s="38">
        <f>IF(AND(MOD(H1612,30)&gt;8,MOD(H1612,30)&lt;=18),1*VLOOKUP(D1612,'报价表-配送'!$B$32:$I$37,7,0),0)</f>
        <v>0</v>
      </c>
      <c r="K1612" s="38">
        <f>IF(AND(MOD(H1612,30)&lt;=8,MOD(H1612,30)&gt;0),1,0)*VLOOKUP(D1612,'报价表-配送'!$B$32:$I$37,6,0)</f>
        <v>0</v>
      </c>
      <c r="L1612" s="33"/>
      <c r="M1612" s="1"/>
      <c r="N1612" s="38">
        <f t="shared" si="24"/>
        <v>0</v>
      </c>
    </row>
    <row r="1613" spans="1:14" x14ac:dyDescent="0.25">
      <c r="A1613" t="s">
        <v>81</v>
      </c>
      <c r="B1613" s="43" t="s">
        <v>163</v>
      </c>
      <c r="C1613" s="62">
        <f>VLOOKUP(B1613,合并仓明细!$D$2:$F$74,3,0)</f>
        <v>115</v>
      </c>
      <c r="D1613" t="s">
        <v>413</v>
      </c>
      <c r="E1613" s="43" t="s">
        <v>248</v>
      </c>
      <c r="F1613" t="s">
        <v>66</v>
      </c>
      <c r="G1613" s="42">
        <v>2197.9300000000003</v>
      </c>
      <c r="H1613"/>
      <c r="K1613" s="1"/>
      <c r="L1613" s="33"/>
      <c r="M1613" s="1"/>
      <c r="N1613" s="38">
        <f t="shared" si="24"/>
        <v>0</v>
      </c>
    </row>
    <row r="1614" spans="1:14" x14ac:dyDescent="0.25">
      <c r="A1614" t="s">
        <v>81</v>
      </c>
      <c r="B1614" s="43" t="s">
        <v>163</v>
      </c>
      <c r="C1614" s="62">
        <f>VLOOKUP(B1614,合并仓明细!$D$2:$F$74,3,0)</f>
        <v>115</v>
      </c>
      <c r="D1614" t="s">
        <v>413</v>
      </c>
      <c r="E1614" s="43" t="s">
        <v>291</v>
      </c>
      <c r="F1614" t="s">
        <v>66</v>
      </c>
      <c r="G1614" s="42">
        <v>1447.8400000000001</v>
      </c>
      <c r="H1614">
        <v>1.4478400000000002</v>
      </c>
      <c r="I1614" s="46"/>
      <c r="K1614" s="1"/>
      <c r="L1614" s="37">
        <f>IF(H1614&gt;30,QUOTIENT(H1614,30)*VLOOKUP(D1614,'报价表-配送'!$B$32:$I$37,8,0),0)+IF(AND(MOD(H1614,30)&gt;18,MOD(H1614,30)&lt;=30),1,0)*VLOOKUP(D1614,'报价表-配送'!$B$32:$I$37,8,0)+IF(AND(MOD(H1614,30)&gt;8,MOD(H1614,30)&lt;=18),1*VLOOKUP(D1614,'报价表-配送'!$B$32:$I$37,7,0),0)+IF(AND(MOD(H1614,30)&lt;=8,MOD(H1614,30)&gt;2.5),1,0)*VLOOKUP(D1614,'报价表-配送'!$B$32:$I$37,6,0)+IF(AND(MOD(H1614,30)&lt;=2.5,MOD(H1614,30)&gt;=1.5),1,0)*VLOOKUP(D1614,'报价表-配送'!$B$32:$I$37,5,0)</f>
        <v>0</v>
      </c>
      <c r="M1614" s="39">
        <f>IF(AND(MOD(H1614,30)&lt;1.5,MOD(H1614,30)&gt;=0.5),H1614,0)*VLOOKUP(D1614,'报价表-配送'!$B$32:$I$37,4,0)*1000+IF(AND(MOD(H1614,30)&lt;0.5,MOD(H1614,30)&gt;=0.02),H1614,0)*VLOOKUP(D1614,'报价表-配送'!$B$32:$I$37,3,0)*1000+IF(AND(MOD(H1614,30)&lt;0.02),H1614,0)*VLOOKUP(D1614,'报价表-配送'!$B$32:$I$37,2,0)*1000</f>
        <v>0</v>
      </c>
      <c r="N1614" s="38">
        <f t="shared" si="24"/>
        <v>0</v>
      </c>
    </row>
    <row r="1615" spans="1:14" x14ac:dyDescent="0.25">
      <c r="A1615" t="s">
        <v>81</v>
      </c>
      <c r="B1615" s="43" t="s">
        <v>163</v>
      </c>
      <c r="C1615" s="62">
        <f>VLOOKUP(B1615,合并仓明细!$D$2:$F$74,3,0)</f>
        <v>115</v>
      </c>
      <c r="D1615" t="s">
        <v>413</v>
      </c>
      <c r="E1615" s="43" t="s">
        <v>341</v>
      </c>
      <c r="F1615" t="s">
        <v>68</v>
      </c>
      <c r="G1615" s="42">
        <v>321.19</v>
      </c>
      <c r="H1615">
        <v>6.2317399999999994</v>
      </c>
      <c r="I1615" s="46">
        <f>ROUNDUP(H1615/30,0)*VLOOKUP(D1615,'报价表-配送'!$B$32:$I$37,8,0)</f>
        <v>0</v>
      </c>
      <c r="K1615" s="1"/>
      <c r="L1615" s="33"/>
      <c r="M1615" s="1"/>
      <c r="N1615" s="38">
        <f t="shared" si="24"/>
        <v>0</v>
      </c>
    </row>
    <row r="1616" spans="1:14" x14ac:dyDescent="0.25">
      <c r="A1616" t="s">
        <v>81</v>
      </c>
      <c r="B1616" s="43" t="s">
        <v>163</v>
      </c>
      <c r="C1616" s="62">
        <f>VLOOKUP(B1616,合并仓明细!$D$2:$F$74,3,0)</f>
        <v>115</v>
      </c>
      <c r="D1616" t="s">
        <v>413</v>
      </c>
      <c r="E1616" s="43" t="s">
        <v>341</v>
      </c>
      <c r="F1616" t="s">
        <v>67</v>
      </c>
      <c r="G1616" s="42">
        <v>4092.11</v>
      </c>
      <c r="H1616"/>
      <c r="K1616" s="1"/>
      <c r="L1616" s="33"/>
      <c r="M1616" s="1"/>
      <c r="N1616" s="38">
        <f t="shared" si="24"/>
        <v>0</v>
      </c>
    </row>
    <row r="1617" spans="1:14" x14ac:dyDescent="0.25">
      <c r="A1617" t="s">
        <v>81</v>
      </c>
      <c r="B1617" s="43" t="s">
        <v>163</v>
      </c>
      <c r="C1617" s="62">
        <f>VLOOKUP(B1617,合并仓明细!$D$2:$F$74,3,0)</f>
        <v>115</v>
      </c>
      <c r="D1617" t="s">
        <v>413</v>
      </c>
      <c r="E1617" s="43" t="s">
        <v>341</v>
      </c>
      <c r="F1617" t="s">
        <v>66</v>
      </c>
      <c r="G1617" s="42">
        <v>1818.44</v>
      </c>
      <c r="H1617"/>
      <c r="I1617" s="46"/>
      <c r="K1617" s="1"/>
      <c r="L1617" s="33"/>
      <c r="M1617" s="1"/>
      <c r="N1617" s="38">
        <f t="shared" si="24"/>
        <v>0</v>
      </c>
    </row>
    <row r="1618" spans="1:14" x14ac:dyDescent="0.25">
      <c r="A1618" t="s">
        <v>81</v>
      </c>
      <c r="B1618" s="43" t="s">
        <v>163</v>
      </c>
      <c r="C1618" s="62">
        <f>VLOOKUP(B1618,合并仓明细!$D$2:$F$74,3,0)</f>
        <v>115</v>
      </c>
      <c r="D1618" t="s">
        <v>413</v>
      </c>
      <c r="E1618" s="43" t="s">
        <v>359</v>
      </c>
      <c r="F1618" t="s">
        <v>67</v>
      </c>
      <c r="G1618" s="42">
        <v>405.21999999999997</v>
      </c>
      <c r="H1618">
        <v>0.5341999999999999</v>
      </c>
      <c r="I1618" s="38">
        <f>IF(H1618&gt;30,QUOTIENT(H1618,30)*VLOOKUP(D1618,'报价表-配送'!$B$32:$I$37,8,0),0)+IF(AND(MOD(H1618,30)&gt;18,MOD(H1618,30)&lt;=30),1,0)*VLOOKUP(D1618,'报价表-配送'!$B$32:$I$37,8,0)</f>
        <v>0</v>
      </c>
      <c r="J1618" s="38">
        <f>IF(AND(MOD(H1618,30)&gt;8,MOD(H1618,30)&lt;=18),1*VLOOKUP(D1618,'报价表-配送'!$B$32:$I$37,7,0),0)</f>
        <v>0</v>
      </c>
      <c r="K1618" s="38">
        <f>IF(AND(MOD(H1618,30)&lt;=8,MOD(H1618,30)&gt;0),1,0)*VLOOKUP(D1618,'报价表-配送'!$B$32:$I$37,6,0)</f>
        <v>0</v>
      </c>
      <c r="L1618" s="33"/>
      <c r="M1618" s="1"/>
      <c r="N1618" s="38">
        <f t="shared" si="24"/>
        <v>0</v>
      </c>
    </row>
    <row r="1619" spans="1:14" x14ac:dyDescent="0.25">
      <c r="A1619" t="s">
        <v>81</v>
      </c>
      <c r="B1619" s="43" t="s">
        <v>163</v>
      </c>
      <c r="C1619" s="62">
        <f>VLOOKUP(B1619,合并仓明细!$D$2:$F$74,3,0)</f>
        <v>115</v>
      </c>
      <c r="D1619" t="s">
        <v>413</v>
      </c>
      <c r="E1619" s="43" t="s">
        <v>359</v>
      </c>
      <c r="F1619" t="s">
        <v>66</v>
      </c>
      <c r="G1619" s="42">
        <v>128.97999999999999</v>
      </c>
      <c r="H1619"/>
      <c r="K1619" s="1"/>
      <c r="L1619" s="33"/>
      <c r="M1619" s="1"/>
      <c r="N1619" s="38">
        <f t="shared" si="24"/>
        <v>0</v>
      </c>
    </row>
    <row r="1620" spans="1:14" x14ac:dyDescent="0.25">
      <c r="A1620" t="s">
        <v>81</v>
      </c>
      <c r="B1620" s="43" t="s">
        <v>163</v>
      </c>
      <c r="C1620" s="62">
        <f>VLOOKUP(B1620,合并仓明细!$D$2:$F$74,3,0)</f>
        <v>115</v>
      </c>
      <c r="D1620" t="s">
        <v>413</v>
      </c>
      <c r="E1620" s="43" t="s">
        <v>342</v>
      </c>
      <c r="F1620" t="s">
        <v>67</v>
      </c>
      <c r="G1620" s="42">
        <v>9156.81</v>
      </c>
      <c r="H1620">
        <v>10.696369999999998</v>
      </c>
      <c r="I1620" s="38">
        <f>IF(H1620&gt;30,QUOTIENT(H1620,30)*VLOOKUP(D1620,'报价表-配送'!$B$32:$I$37,8,0),0)+IF(AND(MOD(H1620,30)&gt;18,MOD(H1620,30)&lt;=30),1,0)*VLOOKUP(D1620,'报价表-配送'!$B$32:$I$37,8,0)</f>
        <v>0</v>
      </c>
      <c r="J1620" s="38">
        <f>IF(AND(MOD(H1620,30)&gt;8,MOD(H1620,30)&lt;=18),1*VLOOKUP(D1620,'报价表-配送'!$B$32:$I$37,7,0),0)</f>
        <v>0</v>
      </c>
      <c r="K1620" s="38">
        <f>IF(AND(MOD(H1620,30)&lt;=8,MOD(H1620,30)&gt;0),1,0)*VLOOKUP(D1620,'报价表-配送'!$B$32:$I$37,6,0)</f>
        <v>0</v>
      </c>
      <c r="L1620" s="33"/>
      <c r="M1620" s="1"/>
      <c r="N1620" s="38">
        <f t="shared" si="24"/>
        <v>0</v>
      </c>
    </row>
    <row r="1621" spans="1:14" x14ac:dyDescent="0.25">
      <c r="A1621" t="s">
        <v>81</v>
      </c>
      <c r="B1621" s="43" t="s">
        <v>163</v>
      </c>
      <c r="C1621" s="62">
        <f>VLOOKUP(B1621,合并仓明细!$D$2:$F$74,3,0)</f>
        <v>115</v>
      </c>
      <c r="D1621" t="s">
        <v>413</v>
      </c>
      <c r="E1621" s="43" t="s">
        <v>342</v>
      </c>
      <c r="F1621" t="s">
        <v>66</v>
      </c>
      <c r="G1621" s="42">
        <v>1539.5599999999997</v>
      </c>
      <c r="H1621"/>
      <c r="K1621" s="1"/>
      <c r="L1621" s="33"/>
      <c r="M1621" s="1"/>
      <c r="N1621" s="38">
        <f t="shared" si="24"/>
        <v>0</v>
      </c>
    </row>
    <row r="1622" spans="1:14" x14ac:dyDescent="0.25">
      <c r="A1622" t="s">
        <v>81</v>
      </c>
      <c r="B1622" s="43" t="s">
        <v>163</v>
      </c>
      <c r="C1622" s="62">
        <f>VLOOKUP(B1622,合并仓明细!$D$2:$F$74,3,0)</f>
        <v>115</v>
      </c>
      <c r="D1622" t="s">
        <v>413</v>
      </c>
      <c r="E1622" s="43" t="s">
        <v>364</v>
      </c>
      <c r="F1622" t="s">
        <v>67</v>
      </c>
      <c r="G1622" s="42">
        <v>2624.33</v>
      </c>
      <c r="H1622">
        <v>3.1821799999999998</v>
      </c>
      <c r="I1622" s="38">
        <f>IF(H1622&gt;30,QUOTIENT(H1622,30)*VLOOKUP(D1622,'报价表-配送'!$B$32:$I$37,8,0),0)+IF(AND(MOD(H1622,30)&gt;18,MOD(H1622,30)&lt;=30),1,0)*VLOOKUP(D1622,'报价表-配送'!$B$32:$I$37,8,0)</f>
        <v>0</v>
      </c>
      <c r="J1622" s="38">
        <f>IF(AND(MOD(H1622,30)&gt;8,MOD(H1622,30)&lt;=18),1*VLOOKUP(D1622,'报价表-配送'!$B$32:$I$37,7,0),0)</f>
        <v>0</v>
      </c>
      <c r="K1622" s="38">
        <f>IF(AND(MOD(H1622,30)&lt;=8,MOD(H1622,30)&gt;0),1,0)*VLOOKUP(D1622,'报价表-配送'!$B$32:$I$37,6,0)</f>
        <v>0</v>
      </c>
      <c r="L1622" s="33"/>
      <c r="M1622" s="1"/>
      <c r="N1622" s="38">
        <f t="shared" si="24"/>
        <v>0</v>
      </c>
    </row>
    <row r="1623" spans="1:14" x14ac:dyDescent="0.25">
      <c r="A1623" t="s">
        <v>81</v>
      </c>
      <c r="B1623" s="43" t="s">
        <v>163</v>
      </c>
      <c r="C1623" s="62">
        <f>VLOOKUP(B1623,合并仓明细!$D$2:$F$74,3,0)</f>
        <v>115</v>
      </c>
      <c r="D1623" t="s">
        <v>413</v>
      </c>
      <c r="E1623" s="43" t="s">
        <v>364</v>
      </c>
      <c r="F1623" t="s">
        <v>66</v>
      </c>
      <c r="G1623" s="42">
        <v>557.85</v>
      </c>
      <c r="H1623"/>
      <c r="K1623" s="1"/>
      <c r="L1623" s="33"/>
      <c r="M1623" s="1"/>
      <c r="N1623" s="38">
        <f t="shared" si="24"/>
        <v>0</v>
      </c>
    </row>
    <row r="1624" spans="1:14" x14ac:dyDescent="0.25">
      <c r="A1624" t="s">
        <v>81</v>
      </c>
      <c r="B1624" s="43" t="s">
        <v>163</v>
      </c>
      <c r="C1624" s="62">
        <f>VLOOKUP(B1624,合并仓明细!$D$2:$F$74,3,0)</f>
        <v>115</v>
      </c>
      <c r="D1624" t="s">
        <v>413</v>
      </c>
      <c r="E1624" s="43" t="s">
        <v>358</v>
      </c>
      <c r="F1624" t="s">
        <v>66</v>
      </c>
      <c r="G1624" s="42">
        <v>320.01000000000005</v>
      </c>
      <c r="H1624">
        <v>0.32001000000000007</v>
      </c>
      <c r="K1624" s="1"/>
      <c r="L1624" s="37">
        <f>IF(H1624&gt;30,QUOTIENT(H1624,30)*VLOOKUP(D1624,'报价表-配送'!$B$32:$I$37,8,0),0)+IF(AND(MOD(H1624,30)&gt;18,MOD(H1624,30)&lt;=30),1,0)*VLOOKUP(D1624,'报价表-配送'!$B$32:$I$37,8,0)+IF(AND(MOD(H1624,30)&gt;8,MOD(H1624,30)&lt;=18),1*VLOOKUP(D1624,'报价表-配送'!$B$32:$I$37,7,0),0)+IF(AND(MOD(H1624,30)&lt;=8,MOD(H1624,30)&gt;2.5),1,0)*VLOOKUP(D1624,'报价表-配送'!$B$32:$I$37,6,0)+IF(AND(MOD(H1624,30)&lt;=2.5,MOD(H1624,30)&gt;=1.5),1,0)*VLOOKUP(D1624,'报价表-配送'!$B$32:$I$37,5,0)</f>
        <v>0</v>
      </c>
      <c r="M1624" s="39">
        <f>IF(AND(MOD(H1624,30)&lt;1.5,MOD(H1624,30)&gt;=0.5),H1624,0)*VLOOKUP(D1624,'报价表-配送'!$B$32:$I$37,4,0)*1000+IF(AND(MOD(H1624,30)&lt;0.5,MOD(H1624,30)&gt;=0.02),H1624,0)*VLOOKUP(D1624,'报价表-配送'!$B$32:$I$37,3,0)*1000+IF(AND(MOD(H1624,30)&lt;0.02),H1624,0)*VLOOKUP(D1624,'报价表-配送'!$B$32:$I$37,2,0)*1000</f>
        <v>0</v>
      </c>
      <c r="N1624" s="38">
        <f t="shared" si="24"/>
        <v>0</v>
      </c>
    </row>
    <row r="1625" spans="1:14" x14ac:dyDescent="0.25">
      <c r="A1625" t="s">
        <v>81</v>
      </c>
      <c r="B1625" s="43" t="s">
        <v>163</v>
      </c>
      <c r="C1625" s="62">
        <f>VLOOKUP(B1625,合并仓明细!$D$2:$F$74,3,0)</f>
        <v>115</v>
      </c>
      <c r="D1625" t="s">
        <v>413</v>
      </c>
      <c r="E1625" s="43" t="s">
        <v>370</v>
      </c>
      <c r="F1625" t="s">
        <v>66</v>
      </c>
      <c r="G1625" s="42">
        <v>49.99</v>
      </c>
      <c r="H1625">
        <v>4.999E-2</v>
      </c>
      <c r="I1625" s="46"/>
      <c r="K1625" s="1"/>
      <c r="L1625" s="37">
        <f>IF(H1625&gt;30,QUOTIENT(H1625,30)*VLOOKUP(D1625,'报价表-配送'!$B$32:$I$37,8,0),0)+IF(AND(MOD(H1625,30)&gt;18,MOD(H1625,30)&lt;=30),1,0)*VLOOKUP(D1625,'报价表-配送'!$B$32:$I$37,8,0)+IF(AND(MOD(H1625,30)&gt;8,MOD(H1625,30)&lt;=18),1*VLOOKUP(D1625,'报价表-配送'!$B$32:$I$37,7,0),0)+IF(AND(MOD(H1625,30)&lt;=8,MOD(H1625,30)&gt;2.5),1,0)*VLOOKUP(D1625,'报价表-配送'!$B$32:$I$37,6,0)+IF(AND(MOD(H1625,30)&lt;=2.5,MOD(H1625,30)&gt;=1.5),1,0)*VLOOKUP(D1625,'报价表-配送'!$B$32:$I$37,5,0)</f>
        <v>0</v>
      </c>
      <c r="M1625" s="39">
        <f>IF(AND(MOD(H1625,30)&lt;1.5,MOD(H1625,30)&gt;=0.5),H1625,0)*VLOOKUP(D1625,'报价表-配送'!$B$32:$I$37,4,0)*1000+IF(AND(MOD(H1625,30)&lt;0.5,MOD(H1625,30)&gt;=0.02),H1625,0)*VLOOKUP(D1625,'报价表-配送'!$B$32:$I$37,3,0)*1000+IF(AND(MOD(H1625,30)&lt;0.02),H1625,0)*VLOOKUP(D1625,'报价表-配送'!$B$32:$I$37,2,0)*1000</f>
        <v>0</v>
      </c>
      <c r="N1625" s="38">
        <f t="shared" si="24"/>
        <v>0</v>
      </c>
    </row>
    <row r="1626" spans="1:14" x14ac:dyDescent="0.25">
      <c r="A1626" t="s">
        <v>81</v>
      </c>
      <c r="B1626" s="43" t="s">
        <v>163</v>
      </c>
      <c r="C1626" s="62">
        <f>VLOOKUP(B1626,合并仓明细!$D$2:$F$74,3,0)</f>
        <v>115</v>
      </c>
      <c r="D1626" t="s">
        <v>413</v>
      </c>
      <c r="E1626" s="43" t="s">
        <v>295</v>
      </c>
      <c r="F1626" t="s">
        <v>66</v>
      </c>
      <c r="G1626" s="42">
        <v>493.31</v>
      </c>
      <c r="H1626">
        <v>0.49331000000000003</v>
      </c>
      <c r="K1626" s="1"/>
      <c r="L1626" s="37">
        <f>IF(H1626&gt;30,QUOTIENT(H1626,30)*VLOOKUP(D1626,'报价表-配送'!$B$32:$I$37,8,0),0)+IF(AND(MOD(H1626,30)&gt;18,MOD(H1626,30)&lt;=30),1,0)*VLOOKUP(D1626,'报价表-配送'!$B$32:$I$37,8,0)+IF(AND(MOD(H1626,30)&gt;8,MOD(H1626,30)&lt;=18),1*VLOOKUP(D1626,'报价表-配送'!$B$32:$I$37,7,0),0)+IF(AND(MOD(H1626,30)&lt;=8,MOD(H1626,30)&gt;2.5),1,0)*VLOOKUP(D1626,'报价表-配送'!$B$32:$I$37,6,0)+IF(AND(MOD(H1626,30)&lt;=2.5,MOD(H1626,30)&gt;=1.5),1,0)*VLOOKUP(D1626,'报价表-配送'!$B$32:$I$37,5,0)</f>
        <v>0</v>
      </c>
      <c r="M1626" s="39">
        <f>IF(AND(MOD(H1626,30)&lt;1.5,MOD(H1626,30)&gt;=0.5),H1626,0)*VLOOKUP(D1626,'报价表-配送'!$B$32:$I$37,4,0)*1000+IF(AND(MOD(H1626,30)&lt;0.5,MOD(H1626,30)&gt;=0.02),H1626,0)*VLOOKUP(D1626,'报价表-配送'!$B$32:$I$37,3,0)*1000+IF(AND(MOD(H1626,30)&lt;0.02),H1626,0)*VLOOKUP(D1626,'报价表-配送'!$B$32:$I$37,2,0)*1000</f>
        <v>0</v>
      </c>
      <c r="N1626" s="38">
        <f t="shared" si="24"/>
        <v>0</v>
      </c>
    </row>
    <row r="1627" spans="1:14" x14ac:dyDescent="0.25">
      <c r="A1627" t="s">
        <v>81</v>
      </c>
      <c r="B1627" s="43" t="s">
        <v>163</v>
      </c>
      <c r="C1627" s="62">
        <f>VLOOKUP(B1627,合并仓明细!$D$2:$F$74,3,0)</f>
        <v>115</v>
      </c>
      <c r="D1627" t="s">
        <v>413</v>
      </c>
      <c r="E1627" s="43" t="s">
        <v>296</v>
      </c>
      <c r="F1627" t="s">
        <v>66</v>
      </c>
      <c r="G1627" s="42">
        <v>436.73</v>
      </c>
      <c r="H1627">
        <v>0.43673000000000001</v>
      </c>
      <c r="K1627" s="1"/>
      <c r="L1627" s="37">
        <f>IF(H1627&gt;30,QUOTIENT(H1627,30)*VLOOKUP(D1627,'报价表-配送'!$B$32:$I$37,8,0),0)+IF(AND(MOD(H1627,30)&gt;18,MOD(H1627,30)&lt;=30),1,0)*VLOOKUP(D1627,'报价表-配送'!$B$32:$I$37,8,0)+IF(AND(MOD(H1627,30)&gt;8,MOD(H1627,30)&lt;=18),1*VLOOKUP(D1627,'报价表-配送'!$B$32:$I$37,7,0),0)+IF(AND(MOD(H1627,30)&lt;=8,MOD(H1627,30)&gt;2.5),1,0)*VLOOKUP(D1627,'报价表-配送'!$B$32:$I$37,6,0)+IF(AND(MOD(H1627,30)&lt;=2.5,MOD(H1627,30)&gt;=1.5),1,0)*VLOOKUP(D1627,'报价表-配送'!$B$32:$I$37,5,0)</f>
        <v>0</v>
      </c>
      <c r="M1627" s="39">
        <f>IF(AND(MOD(H1627,30)&lt;1.5,MOD(H1627,30)&gt;=0.5),H1627,0)*VLOOKUP(D1627,'报价表-配送'!$B$32:$I$37,4,0)*1000+IF(AND(MOD(H1627,30)&lt;0.5,MOD(H1627,30)&gt;=0.02),H1627,0)*VLOOKUP(D1627,'报价表-配送'!$B$32:$I$37,3,0)*1000+IF(AND(MOD(H1627,30)&lt;0.02),H1627,0)*VLOOKUP(D1627,'报价表-配送'!$B$32:$I$37,2,0)*1000</f>
        <v>0</v>
      </c>
      <c r="N1627" s="38">
        <f t="shared" si="24"/>
        <v>0</v>
      </c>
    </row>
    <row r="1628" spans="1:14" x14ac:dyDescent="0.25">
      <c r="A1628" t="s">
        <v>81</v>
      </c>
      <c r="B1628" s="43" t="s">
        <v>163</v>
      </c>
      <c r="C1628" s="62">
        <f>VLOOKUP(B1628,合并仓明细!$D$2:$F$74,3,0)</f>
        <v>115</v>
      </c>
      <c r="D1628" t="s">
        <v>413</v>
      </c>
      <c r="E1628" s="43" t="s">
        <v>366</v>
      </c>
      <c r="F1628" t="s">
        <v>66</v>
      </c>
      <c r="G1628" s="42">
        <v>10.5</v>
      </c>
      <c r="H1628">
        <v>1.0500000000000001E-2</v>
      </c>
      <c r="I1628" s="46"/>
      <c r="K1628" s="1"/>
      <c r="L1628" s="37">
        <f>IF(H1628&gt;30,QUOTIENT(H1628,30)*VLOOKUP(D1628,'报价表-配送'!$B$32:$I$37,8,0),0)+IF(AND(MOD(H1628,30)&gt;18,MOD(H1628,30)&lt;=30),1,0)*VLOOKUP(D1628,'报价表-配送'!$B$32:$I$37,8,0)+IF(AND(MOD(H1628,30)&gt;8,MOD(H1628,30)&lt;=18),1*VLOOKUP(D1628,'报价表-配送'!$B$32:$I$37,7,0),0)+IF(AND(MOD(H1628,30)&lt;=8,MOD(H1628,30)&gt;2.5),1,0)*VLOOKUP(D1628,'报价表-配送'!$B$32:$I$37,6,0)+IF(AND(MOD(H1628,30)&lt;=2.5,MOD(H1628,30)&gt;=1.5),1,0)*VLOOKUP(D1628,'报价表-配送'!$B$32:$I$37,5,0)</f>
        <v>0</v>
      </c>
      <c r="M1628" s="39">
        <f>IF(AND(MOD(H1628,30)&lt;1.5,MOD(H1628,30)&gt;=0.5),H1628,0)*VLOOKUP(D1628,'报价表-配送'!$B$32:$I$37,4,0)*1000+IF(AND(MOD(H1628,30)&lt;0.5,MOD(H1628,30)&gt;=0.02),H1628,0)*VLOOKUP(D1628,'报价表-配送'!$B$32:$I$37,3,0)*1000+IF(AND(MOD(H1628,30)&lt;0.02),H1628,0)*VLOOKUP(D1628,'报价表-配送'!$B$32:$I$37,2,0)*1000</f>
        <v>0</v>
      </c>
      <c r="N1628" s="38">
        <f t="shared" si="24"/>
        <v>0</v>
      </c>
    </row>
    <row r="1629" spans="1:14" x14ac:dyDescent="0.25">
      <c r="A1629" t="s">
        <v>81</v>
      </c>
      <c r="B1629" s="43" t="s">
        <v>163</v>
      </c>
      <c r="C1629" s="62">
        <f>VLOOKUP(B1629,合并仓明细!$D$2:$F$74,3,0)</f>
        <v>115</v>
      </c>
      <c r="D1629" t="s">
        <v>413</v>
      </c>
      <c r="E1629" s="43" t="s">
        <v>353</v>
      </c>
      <c r="F1629" t="s">
        <v>67</v>
      </c>
      <c r="G1629" s="42">
        <v>278.68</v>
      </c>
      <c r="H1629">
        <v>0.34214</v>
      </c>
      <c r="I1629" s="38">
        <f>IF(H1629&gt;30,QUOTIENT(H1629,30)*VLOOKUP(D1629,'报价表-配送'!$B$32:$I$37,8,0),0)+IF(AND(MOD(H1629,30)&gt;18,MOD(H1629,30)&lt;=30),1,0)*VLOOKUP(D1629,'报价表-配送'!$B$32:$I$37,8,0)</f>
        <v>0</v>
      </c>
      <c r="J1629" s="38">
        <f>IF(AND(MOD(H1629,30)&gt;8,MOD(H1629,30)&lt;=18),1*VLOOKUP(D1629,'报价表-配送'!$B$32:$I$37,7,0),0)</f>
        <v>0</v>
      </c>
      <c r="K1629" s="38">
        <f>IF(AND(MOD(H1629,30)&lt;=8,MOD(H1629,30)&gt;0),1,0)*VLOOKUP(D1629,'报价表-配送'!$B$32:$I$37,6,0)</f>
        <v>0</v>
      </c>
      <c r="L1629" s="33"/>
      <c r="M1629" s="1"/>
      <c r="N1629" s="38">
        <f t="shared" si="24"/>
        <v>0</v>
      </c>
    </row>
    <row r="1630" spans="1:14" x14ac:dyDescent="0.25">
      <c r="A1630" t="s">
        <v>81</v>
      </c>
      <c r="B1630" s="43" t="s">
        <v>163</v>
      </c>
      <c r="C1630" s="62">
        <f>VLOOKUP(B1630,合并仓明细!$D$2:$F$74,3,0)</f>
        <v>115</v>
      </c>
      <c r="D1630" t="s">
        <v>413</v>
      </c>
      <c r="E1630" s="43" t="s">
        <v>353</v>
      </c>
      <c r="F1630" t="s">
        <v>66</v>
      </c>
      <c r="G1630" s="42">
        <v>63.459999999999994</v>
      </c>
      <c r="H1630"/>
      <c r="K1630" s="1"/>
      <c r="L1630" s="33"/>
      <c r="M1630" s="1"/>
      <c r="N1630" s="38">
        <f t="shared" si="24"/>
        <v>0</v>
      </c>
    </row>
    <row r="1631" spans="1:14" x14ac:dyDescent="0.25">
      <c r="A1631" t="s">
        <v>81</v>
      </c>
      <c r="B1631" s="43" t="s">
        <v>163</v>
      </c>
      <c r="C1631" s="62">
        <f>VLOOKUP(B1631,合并仓明细!$D$2:$F$74,3,0)</f>
        <v>115</v>
      </c>
      <c r="D1631" t="s">
        <v>413</v>
      </c>
      <c r="E1631" s="43" t="s">
        <v>249</v>
      </c>
      <c r="F1631" t="s">
        <v>66</v>
      </c>
      <c r="G1631" s="42">
        <v>91.67</v>
      </c>
      <c r="H1631">
        <v>9.1670000000000001E-2</v>
      </c>
      <c r="I1631" s="46"/>
      <c r="K1631" s="1"/>
      <c r="L1631" s="37">
        <f>IF(H1631&gt;30,QUOTIENT(H1631,30)*VLOOKUP(D1631,'报价表-配送'!$B$32:$I$37,8,0),0)+IF(AND(MOD(H1631,30)&gt;18,MOD(H1631,30)&lt;=30),1,0)*VLOOKUP(D1631,'报价表-配送'!$B$32:$I$37,8,0)+IF(AND(MOD(H1631,30)&gt;8,MOD(H1631,30)&lt;=18),1*VLOOKUP(D1631,'报价表-配送'!$B$32:$I$37,7,0),0)+IF(AND(MOD(H1631,30)&lt;=8,MOD(H1631,30)&gt;2.5),1,0)*VLOOKUP(D1631,'报价表-配送'!$B$32:$I$37,6,0)+IF(AND(MOD(H1631,30)&lt;=2.5,MOD(H1631,30)&gt;=1.5),1,0)*VLOOKUP(D1631,'报价表-配送'!$B$32:$I$37,5,0)</f>
        <v>0</v>
      </c>
      <c r="M1631" s="39">
        <f>IF(AND(MOD(H1631,30)&lt;1.5,MOD(H1631,30)&gt;=0.5),H1631,0)*VLOOKUP(D1631,'报价表-配送'!$B$32:$I$37,4,0)*1000+IF(AND(MOD(H1631,30)&lt;0.5,MOD(H1631,30)&gt;=0.02),H1631,0)*VLOOKUP(D1631,'报价表-配送'!$B$32:$I$37,3,0)*1000+IF(AND(MOD(H1631,30)&lt;0.02),H1631,0)*VLOOKUP(D1631,'报价表-配送'!$B$32:$I$37,2,0)*1000</f>
        <v>0</v>
      </c>
      <c r="N1631" s="38">
        <f t="shared" si="24"/>
        <v>0</v>
      </c>
    </row>
    <row r="1632" spans="1:14" x14ac:dyDescent="0.25">
      <c r="A1632" t="s">
        <v>81</v>
      </c>
      <c r="B1632" s="43" t="s">
        <v>163</v>
      </c>
      <c r="C1632" s="62">
        <f>VLOOKUP(B1632,合并仓明细!$D$2:$F$74,3,0)</f>
        <v>115</v>
      </c>
      <c r="D1632" t="s">
        <v>413</v>
      </c>
      <c r="E1632" s="43" t="s">
        <v>325</v>
      </c>
      <c r="F1632" t="s">
        <v>66</v>
      </c>
      <c r="G1632" s="42">
        <v>55</v>
      </c>
      <c r="H1632">
        <v>5.5E-2</v>
      </c>
      <c r="K1632" s="1"/>
      <c r="L1632" s="37">
        <f>IF(H1632&gt;30,QUOTIENT(H1632,30)*VLOOKUP(D1632,'报价表-配送'!$B$32:$I$37,8,0),0)+IF(AND(MOD(H1632,30)&gt;18,MOD(H1632,30)&lt;=30),1,0)*VLOOKUP(D1632,'报价表-配送'!$B$32:$I$37,8,0)+IF(AND(MOD(H1632,30)&gt;8,MOD(H1632,30)&lt;=18),1*VLOOKUP(D1632,'报价表-配送'!$B$32:$I$37,7,0),0)+IF(AND(MOD(H1632,30)&lt;=8,MOD(H1632,30)&gt;2.5),1,0)*VLOOKUP(D1632,'报价表-配送'!$B$32:$I$37,6,0)+IF(AND(MOD(H1632,30)&lt;=2.5,MOD(H1632,30)&gt;=1.5),1,0)*VLOOKUP(D1632,'报价表-配送'!$B$32:$I$37,5,0)</f>
        <v>0</v>
      </c>
      <c r="M1632" s="39">
        <f>IF(AND(MOD(H1632,30)&lt;1.5,MOD(H1632,30)&gt;=0.5),H1632,0)*VLOOKUP(D1632,'报价表-配送'!$B$32:$I$37,4,0)*1000+IF(AND(MOD(H1632,30)&lt;0.5,MOD(H1632,30)&gt;=0.02),H1632,0)*VLOOKUP(D1632,'报价表-配送'!$B$32:$I$37,3,0)*1000+IF(AND(MOD(H1632,30)&lt;0.02),H1632,0)*VLOOKUP(D1632,'报价表-配送'!$B$32:$I$37,2,0)*1000</f>
        <v>0</v>
      </c>
      <c r="N1632" s="38">
        <f t="shared" ref="N1632:N1701" si="25">SUM(I1632:M1632)</f>
        <v>0</v>
      </c>
    </row>
    <row r="1633" spans="1:14" x14ac:dyDescent="0.25">
      <c r="A1633" t="s">
        <v>81</v>
      </c>
      <c r="B1633" s="43" t="s">
        <v>163</v>
      </c>
      <c r="C1633" s="62">
        <f>VLOOKUP(B1633,合并仓明细!$D$2:$F$74,3,0)</f>
        <v>115</v>
      </c>
      <c r="D1633" t="s">
        <v>413</v>
      </c>
      <c r="E1633" s="43" t="s">
        <v>297</v>
      </c>
      <c r="F1633" t="s">
        <v>67</v>
      </c>
      <c r="G1633" s="42">
        <v>40.200000000000003</v>
      </c>
      <c r="H1633">
        <v>4.1000000000000002E-2</v>
      </c>
      <c r="I1633" s="38">
        <f>IF(H1633&gt;30,QUOTIENT(H1633,30)*VLOOKUP(D1633,'报价表-配送'!$B$32:$I$37,8,0),0)+IF(AND(MOD(H1633,30)&gt;18,MOD(H1633,30)&lt;=30),1,0)*VLOOKUP(D1633,'报价表-配送'!$B$32:$I$37,8,0)</f>
        <v>0</v>
      </c>
      <c r="J1633" s="38">
        <f>IF(AND(MOD(H1633,30)&gt;8,MOD(H1633,30)&lt;=18),1*VLOOKUP(D1633,'报价表-配送'!$B$32:$I$37,7,0),0)</f>
        <v>0</v>
      </c>
      <c r="K1633" s="38">
        <f>IF(AND(MOD(H1633,30)&lt;=8,MOD(H1633,30)&gt;0),1,0)*VLOOKUP(D1633,'报价表-配送'!$B$32:$I$37,6,0)</f>
        <v>0</v>
      </c>
      <c r="L1633" s="33"/>
      <c r="M1633" s="1"/>
      <c r="N1633" s="38">
        <f t="shared" si="25"/>
        <v>0</v>
      </c>
    </row>
    <row r="1634" spans="1:14" x14ac:dyDescent="0.25">
      <c r="A1634" t="s">
        <v>81</v>
      </c>
      <c r="B1634" s="43" t="s">
        <v>163</v>
      </c>
      <c r="C1634" s="62">
        <f>VLOOKUP(B1634,合并仓明细!$D$2:$F$74,3,0)</f>
        <v>115</v>
      </c>
      <c r="D1634" t="s">
        <v>413</v>
      </c>
      <c r="E1634" s="43" t="s">
        <v>297</v>
      </c>
      <c r="F1634" t="s">
        <v>66</v>
      </c>
      <c r="G1634" s="42">
        <v>0.8</v>
      </c>
      <c r="H1634"/>
      <c r="I1634" s="46"/>
      <c r="K1634" s="1"/>
      <c r="L1634" s="33"/>
      <c r="M1634" s="1"/>
      <c r="N1634" s="38">
        <f t="shared" si="25"/>
        <v>0</v>
      </c>
    </row>
    <row r="1635" spans="1:14" x14ac:dyDescent="0.25">
      <c r="A1635" t="s">
        <v>81</v>
      </c>
      <c r="B1635" s="43" t="s">
        <v>163</v>
      </c>
      <c r="C1635" s="62">
        <f>VLOOKUP(B1635,合并仓明细!$D$2:$F$74,3,0)</f>
        <v>115</v>
      </c>
      <c r="D1635" t="s">
        <v>413</v>
      </c>
      <c r="E1635" s="43" t="s">
        <v>326</v>
      </c>
      <c r="F1635" t="s">
        <v>66</v>
      </c>
      <c r="G1635" s="42">
        <v>34.36</v>
      </c>
      <c r="H1635">
        <v>3.4360000000000002E-2</v>
      </c>
      <c r="K1635" s="1"/>
      <c r="L1635" s="37">
        <f>IF(H1635&gt;30,QUOTIENT(H1635,30)*VLOOKUP(D1635,'报价表-配送'!$B$32:$I$37,8,0),0)+IF(AND(MOD(H1635,30)&gt;18,MOD(H1635,30)&lt;=30),1,0)*VLOOKUP(D1635,'报价表-配送'!$B$32:$I$37,8,0)+IF(AND(MOD(H1635,30)&gt;8,MOD(H1635,30)&lt;=18),1*VLOOKUP(D1635,'报价表-配送'!$B$32:$I$37,7,0),0)+IF(AND(MOD(H1635,30)&lt;=8,MOD(H1635,30)&gt;2.5),1,0)*VLOOKUP(D1635,'报价表-配送'!$B$32:$I$37,6,0)+IF(AND(MOD(H1635,30)&lt;=2.5,MOD(H1635,30)&gt;=1.5),1,0)*VLOOKUP(D1635,'报价表-配送'!$B$32:$I$37,5,0)</f>
        <v>0</v>
      </c>
      <c r="M1635" s="39">
        <f>IF(AND(MOD(H1635,30)&lt;1.5,MOD(H1635,30)&gt;=0.5),H1635,0)*VLOOKUP(D1635,'报价表-配送'!$B$32:$I$37,4,0)*1000+IF(AND(MOD(H1635,30)&lt;0.5,MOD(H1635,30)&gt;=0.02),H1635,0)*VLOOKUP(D1635,'报价表-配送'!$B$32:$I$37,3,0)*1000+IF(AND(MOD(H1635,30)&lt;0.02),H1635,0)*VLOOKUP(D1635,'报价表-配送'!$B$32:$I$37,2,0)*1000</f>
        <v>0</v>
      </c>
      <c r="N1635" s="38">
        <f t="shared" si="25"/>
        <v>0</v>
      </c>
    </row>
    <row r="1636" spans="1:14" x14ac:dyDescent="0.25">
      <c r="A1636" t="s">
        <v>81</v>
      </c>
      <c r="B1636" s="43" t="s">
        <v>163</v>
      </c>
      <c r="C1636" s="62">
        <f>VLOOKUP(B1636,合并仓明细!$D$2:$F$74,3,0)</f>
        <v>115</v>
      </c>
      <c r="D1636" t="s">
        <v>413</v>
      </c>
      <c r="E1636" s="43" t="s">
        <v>318</v>
      </c>
      <c r="F1636" t="s">
        <v>68</v>
      </c>
      <c r="G1636" s="42">
        <v>1948.91</v>
      </c>
      <c r="H1636">
        <v>2.3216199999999998</v>
      </c>
      <c r="I1636" s="46">
        <f>ROUNDUP(H1636/30,0)*VLOOKUP(D1636,'报价表-配送'!$B$32:$I$37,8,0)</f>
        <v>0</v>
      </c>
      <c r="K1636" s="1"/>
      <c r="L1636" s="33"/>
      <c r="M1636" s="1"/>
      <c r="N1636" s="38">
        <f t="shared" si="25"/>
        <v>0</v>
      </c>
    </row>
    <row r="1637" spans="1:14" x14ac:dyDescent="0.25">
      <c r="A1637" t="s">
        <v>81</v>
      </c>
      <c r="B1637" s="43" t="s">
        <v>163</v>
      </c>
      <c r="C1637" s="62">
        <f>VLOOKUP(B1637,合并仓明细!$D$2:$F$74,3,0)</f>
        <v>115</v>
      </c>
      <c r="D1637" t="s">
        <v>413</v>
      </c>
      <c r="E1637" s="43" t="s">
        <v>318</v>
      </c>
      <c r="F1637" t="s">
        <v>67</v>
      </c>
      <c r="G1637" s="42">
        <v>51.3</v>
      </c>
      <c r="H1637"/>
      <c r="I1637" s="46"/>
      <c r="K1637" s="1"/>
      <c r="L1637" s="33"/>
      <c r="M1637" s="1"/>
      <c r="N1637" s="38">
        <f t="shared" si="25"/>
        <v>0</v>
      </c>
    </row>
    <row r="1638" spans="1:14" x14ac:dyDescent="0.25">
      <c r="A1638" t="s">
        <v>81</v>
      </c>
      <c r="B1638" s="43" t="s">
        <v>163</v>
      </c>
      <c r="C1638" s="62">
        <f>VLOOKUP(B1638,合并仓明细!$D$2:$F$74,3,0)</f>
        <v>115</v>
      </c>
      <c r="D1638" t="s">
        <v>413</v>
      </c>
      <c r="E1638" s="43" t="s">
        <v>318</v>
      </c>
      <c r="F1638" t="s">
        <v>66</v>
      </c>
      <c r="G1638" s="42">
        <v>321.41000000000003</v>
      </c>
      <c r="H1638"/>
      <c r="K1638" s="1"/>
      <c r="L1638" s="33"/>
      <c r="M1638" s="1"/>
      <c r="N1638" s="38">
        <f t="shared" si="25"/>
        <v>0</v>
      </c>
    </row>
    <row r="1639" spans="1:14" x14ac:dyDescent="0.25">
      <c r="A1639" t="s">
        <v>81</v>
      </c>
      <c r="B1639" s="43" t="s">
        <v>163</v>
      </c>
      <c r="C1639" s="62">
        <f>VLOOKUP(B1639,合并仓明细!$D$2:$F$74,3,0)</f>
        <v>115</v>
      </c>
      <c r="D1639" t="s">
        <v>413</v>
      </c>
      <c r="E1639" s="43" t="s">
        <v>299</v>
      </c>
      <c r="F1639" t="s">
        <v>66</v>
      </c>
      <c r="G1639" s="42">
        <v>388.33</v>
      </c>
      <c r="H1639">
        <v>0.38833000000000001</v>
      </c>
      <c r="K1639" s="1"/>
      <c r="L1639" s="37">
        <f>IF(H1639&gt;30,QUOTIENT(H1639,30)*VLOOKUP(D1639,'报价表-配送'!$B$32:$I$37,8,0),0)+IF(AND(MOD(H1639,30)&gt;18,MOD(H1639,30)&lt;=30),1,0)*VLOOKUP(D1639,'报价表-配送'!$B$32:$I$37,8,0)+IF(AND(MOD(H1639,30)&gt;8,MOD(H1639,30)&lt;=18),1*VLOOKUP(D1639,'报价表-配送'!$B$32:$I$37,7,0),0)+IF(AND(MOD(H1639,30)&lt;=8,MOD(H1639,30)&gt;2.5),1,0)*VLOOKUP(D1639,'报价表-配送'!$B$32:$I$37,6,0)+IF(AND(MOD(H1639,30)&lt;=2.5,MOD(H1639,30)&gt;=1.5),1,0)*VLOOKUP(D1639,'报价表-配送'!$B$32:$I$37,5,0)</f>
        <v>0</v>
      </c>
      <c r="M1639" s="39">
        <f>IF(AND(MOD(H1639,30)&lt;1.5,MOD(H1639,30)&gt;=0.5),H1639,0)*VLOOKUP(D1639,'报价表-配送'!$B$32:$I$37,4,0)*1000+IF(AND(MOD(H1639,30)&lt;0.5,MOD(H1639,30)&gt;=0.02),H1639,0)*VLOOKUP(D1639,'报价表-配送'!$B$32:$I$37,3,0)*1000+IF(AND(MOD(H1639,30)&lt;0.02),H1639,0)*VLOOKUP(D1639,'报价表-配送'!$B$32:$I$37,2,0)*1000</f>
        <v>0</v>
      </c>
      <c r="N1639" s="38">
        <f t="shared" si="25"/>
        <v>0</v>
      </c>
    </row>
    <row r="1640" spans="1:14" x14ac:dyDescent="0.25">
      <c r="A1640" t="s">
        <v>81</v>
      </c>
      <c r="B1640" s="43" t="s">
        <v>163</v>
      </c>
      <c r="C1640" s="62">
        <f>VLOOKUP(B1640,合并仓明细!$D$2:$F$74,3,0)</f>
        <v>115</v>
      </c>
      <c r="D1640" t="s">
        <v>413</v>
      </c>
      <c r="E1640" s="43" t="s">
        <v>360</v>
      </c>
      <c r="F1640" t="s">
        <v>66</v>
      </c>
      <c r="G1640" s="42">
        <v>2.39</v>
      </c>
      <c r="H1640">
        <v>2.3900000000000002E-3</v>
      </c>
      <c r="I1640" s="46"/>
      <c r="K1640" s="1"/>
      <c r="L1640" s="37">
        <f>IF(H1640&gt;30,QUOTIENT(H1640,30)*VLOOKUP(D1640,'报价表-配送'!$B$32:$I$37,8,0),0)+IF(AND(MOD(H1640,30)&gt;18,MOD(H1640,30)&lt;=30),1,0)*VLOOKUP(D1640,'报价表-配送'!$B$32:$I$37,8,0)+IF(AND(MOD(H1640,30)&gt;8,MOD(H1640,30)&lt;=18),1*VLOOKUP(D1640,'报价表-配送'!$B$32:$I$37,7,0),0)+IF(AND(MOD(H1640,30)&lt;=8,MOD(H1640,30)&gt;2.5),1,0)*VLOOKUP(D1640,'报价表-配送'!$B$32:$I$37,6,0)+IF(AND(MOD(H1640,30)&lt;=2.5,MOD(H1640,30)&gt;=1.5),1,0)*VLOOKUP(D1640,'报价表-配送'!$B$32:$I$37,5,0)</f>
        <v>0</v>
      </c>
      <c r="M1640" s="39">
        <f>IF(AND(MOD(H1640,30)&lt;1.5,MOD(H1640,30)&gt;=0.5),H1640,0)*VLOOKUP(D1640,'报价表-配送'!$B$32:$I$37,4,0)*1000+IF(AND(MOD(H1640,30)&lt;0.5,MOD(H1640,30)&gt;=0.02),H1640,0)*VLOOKUP(D1640,'报价表-配送'!$B$32:$I$37,3,0)*1000+IF(AND(MOD(H1640,30)&lt;0.02),H1640,0)*VLOOKUP(D1640,'报价表-配送'!$B$32:$I$37,2,0)*1000</f>
        <v>0</v>
      </c>
      <c r="N1640" s="38">
        <f t="shared" si="25"/>
        <v>0</v>
      </c>
    </row>
    <row r="1641" spans="1:14" x14ac:dyDescent="0.25">
      <c r="A1641" t="s">
        <v>81</v>
      </c>
      <c r="B1641" s="43" t="s">
        <v>163</v>
      </c>
      <c r="C1641" s="62">
        <f>VLOOKUP(B1641,合并仓明细!$D$2:$F$74,3,0)</f>
        <v>115</v>
      </c>
      <c r="D1641" t="s">
        <v>413</v>
      </c>
      <c r="E1641" s="43" t="s">
        <v>301</v>
      </c>
      <c r="F1641" t="s">
        <v>66</v>
      </c>
      <c r="G1641" s="42">
        <v>16.850000000000001</v>
      </c>
      <c r="H1641">
        <v>1.685E-2</v>
      </c>
      <c r="K1641" s="1"/>
      <c r="L1641" s="37">
        <f>IF(H1641&gt;30,QUOTIENT(H1641,30)*VLOOKUP(D1641,'报价表-配送'!$B$32:$I$37,8,0),0)+IF(AND(MOD(H1641,30)&gt;18,MOD(H1641,30)&lt;=30),1,0)*VLOOKUP(D1641,'报价表-配送'!$B$32:$I$37,8,0)+IF(AND(MOD(H1641,30)&gt;8,MOD(H1641,30)&lt;=18),1*VLOOKUP(D1641,'报价表-配送'!$B$32:$I$37,7,0),0)+IF(AND(MOD(H1641,30)&lt;=8,MOD(H1641,30)&gt;2.5),1,0)*VLOOKUP(D1641,'报价表-配送'!$B$32:$I$37,6,0)+IF(AND(MOD(H1641,30)&lt;=2.5,MOD(H1641,30)&gt;=1.5),1,0)*VLOOKUP(D1641,'报价表-配送'!$B$32:$I$37,5,0)</f>
        <v>0</v>
      </c>
      <c r="M1641" s="39">
        <f>IF(AND(MOD(H1641,30)&lt;1.5,MOD(H1641,30)&gt;=0.5),H1641,0)*VLOOKUP(D1641,'报价表-配送'!$B$32:$I$37,4,0)*1000+IF(AND(MOD(H1641,30)&lt;0.5,MOD(H1641,30)&gt;=0.02),H1641,0)*VLOOKUP(D1641,'报价表-配送'!$B$32:$I$37,3,0)*1000+IF(AND(MOD(H1641,30)&lt;0.02),H1641,0)*VLOOKUP(D1641,'报价表-配送'!$B$32:$I$37,2,0)*1000</f>
        <v>0</v>
      </c>
      <c r="N1641" s="38">
        <f t="shared" si="25"/>
        <v>0</v>
      </c>
    </row>
    <row r="1642" spans="1:14" x14ac:dyDescent="0.25">
      <c r="A1642" t="s">
        <v>81</v>
      </c>
      <c r="B1642" s="43" t="s">
        <v>163</v>
      </c>
      <c r="C1642" s="62">
        <f>VLOOKUP(B1642,合并仓明细!$D$2:$F$74,3,0)</f>
        <v>115</v>
      </c>
      <c r="D1642" t="s">
        <v>413</v>
      </c>
      <c r="E1642" s="43" t="s">
        <v>321</v>
      </c>
      <c r="F1642" t="s">
        <v>66</v>
      </c>
      <c r="G1642" s="42">
        <v>92.34</v>
      </c>
      <c r="H1642">
        <v>9.2340000000000005E-2</v>
      </c>
      <c r="K1642" s="1"/>
      <c r="L1642" s="37">
        <f>IF(H1642&gt;30,QUOTIENT(H1642,30)*VLOOKUP(D1642,'报价表-配送'!$B$32:$I$37,8,0),0)+IF(AND(MOD(H1642,30)&gt;18,MOD(H1642,30)&lt;=30),1,0)*VLOOKUP(D1642,'报价表-配送'!$B$32:$I$37,8,0)+IF(AND(MOD(H1642,30)&gt;8,MOD(H1642,30)&lt;=18),1*VLOOKUP(D1642,'报价表-配送'!$B$32:$I$37,7,0),0)+IF(AND(MOD(H1642,30)&lt;=8,MOD(H1642,30)&gt;2.5),1,0)*VLOOKUP(D1642,'报价表-配送'!$B$32:$I$37,6,0)+IF(AND(MOD(H1642,30)&lt;=2.5,MOD(H1642,30)&gt;=1.5),1,0)*VLOOKUP(D1642,'报价表-配送'!$B$32:$I$37,5,0)</f>
        <v>0</v>
      </c>
      <c r="M1642" s="39">
        <f>IF(AND(MOD(H1642,30)&lt;1.5,MOD(H1642,30)&gt;=0.5),H1642,0)*VLOOKUP(D1642,'报价表-配送'!$B$32:$I$37,4,0)*1000+IF(AND(MOD(H1642,30)&lt;0.5,MOD(H1642,30)&gt;=0.02),H1642,0)*VLOOKUP(D1642,'报价表-配送'!$B$32:$I$37,3,0)*1000+IF(AND(MOD(H1642,30)&lt;0.02),H1642,0)*VLOOKUP(D1642,'报价表-配送'!$B$32:$I$37,2,0)*1000</f>
        <v>0</v>
      </c>
      <c r="N1642" s="38">
        <f t="shared" si="25"/>
        <v>0</v>
      </c>
    </row>
    <row r="1643" spans="1:14" x14ac:dyDescent="0.25">
      <c r="A1643" t="s">
        <v>81</v>
      </c>
      <c r="B1643" s="43" t="s">
        <v>163</v>
      </c>
      <c r="C1643" s="62">
        <f>VLOOKUP(B1643,合并仓明细!$D$2:$F$74,3,0)</f>
        <v>115</v>
      </c>
      <c r="D1643" t="s">
        <v>413</v>
      </c>
      <c r="E1643" s="43" t="s">
        <v>330</v>
      </c>
      <c r="F1643" t="s">
        <v>66</v>
      </c>
      <c r="G1643" s="42">
        <v>176.56</v>
      </c>
      <c r="H1643">
        <v>0.17655999999999999</v>
      </c>
      <c r="I1643" s="46"/>
      <c r="K1643" s="1"/>
      <c r="L1643" s="37">
        <f>IF(H1643&gt;30,QUOTIENT(H1643,30)*VLOOKUP(D1643,'报价表-配送'!$B$32:$I$37,8,0),0)+IF(AND(MOD(H1643,30)&gt;18,MOD(H1643,30)&lt;=30),1,0)*VLOOKUP(D1643,'报价表-配送'!$B$32:$I$37,8,0)+IF(AND(MOD(H1643,30)&gt;8,MOD(H1643,30)&lt;=18),1*VLOOKUP(D1643,'报价表-配送'!$B$32:$I$37,7,0),0)+IF(AND(MOD(H1643,30)&lt;=8,MOD(H1643,30)&gt;2.5),1,0)*VLOOKUP(D1643,'报价表-配送'!$B$32:$I$37,6,0)+IF(AND(MOD(H1643,30)&lt;=2.5,MOD(H1643,30)&gt;=1.5),1,0)*VLOOKUP(D1643,'报价表-配送'!$B$32:$I$37,5,0)</f>
        <v>0</v>
      </c>
      <c r="M1643" s="39">
        <f>IF(AND(MOD(H1643,30)&lt;1.5,MOD(H1643,30)&gt;=0.5),H1643,0)*VLOOKUP(D1643,'报价表-配送'!$B$32:$I$37,4,0)*1000+IF(AND(MOD(H1643,30)&lt;0.5,MOD(H1643,30)&gt;=0.02),H1643,0)*VLOOKUP(D1643,'报价表-配送'!$B$32:$I$37,3,0)*1000+IF(AND(MOD(H1643,30)&lt;0.02),H1643,0)*VLOOKUP(D1643,'报价表-配送'!$B$32:$I$37,2,0)*1000</f>
        <v>0</v>
      </c>
      <c r="N1643" s="38">
        <f t="shared" si="25"/>
        <v>0</v>
      </c>
    </row>
    <row r="1644" spans="1:14" x14ac:dyDescent="0.25">
      <c r="A1644" t="s">
        <v>81</v>
      </c>
      <c r="B1644" s="43" t="s">
        <v>163</v>
      </c>
      <c r="C1644" s="62">
        <f>VLOOKUP(B1644,合并仓明细!$D$2:$F$74,3,0)</f>
        <v>115</v>
      </c>
      <c r="D1644" t="s">
        <v>413</v>
      </c>
      <c r="E1644" s="43" t="s">
        <v>252</v>
      </c>
      <c r="F1644" t="s">
        <v>68</v>
      </c>
      <c r="G1644" s="42">
        <v>232.42</v>
      </c>
      <c r="H1644">
        <v>32.459510000000002</v>
      </c>
      <c r="I1644" s="46">
        <f>ROUNDUP(H1644/30,0)*VLOOKUP(D1644,'报价表-配送'!$B$32:$I$37,8,0)</f>
        <v>0</v>
      </c>
      <c r="K1644" s="1"/>
      <c r="L1644" s="33"/>
      <c r="M1644" s="1"/>
      <c r="N1644" s="38">
        <f t="shared" si="25"/>
        <v>0</v>
      </c>
    </row>
    <row r="1645" spans="1:14" x14ac:dyDescent="0.25">
      <c r="A1645" t="s">
        <v>81</v>
      </c>
      <c r="B1645" s="43" t="s">
        <v>163</v>
      </c>
      <c r="C1645" s="62">
        <f>VLOOKUP(B1645,合并仓明细!$D$2:$F$74,3,0)</f>
        <v>115</v>
      </c>
      <c r="D1645" t="s">
        <v>413</v>
      </c>
      <c r="E1645" s="43" t="s">
        <v>252</v>
      </c>
      <c r="F1645" t="s">
        <v>67</v>
      </c>
      <c r="G1645" s="42">
        <v>18259.75</v>
      </c>
      <c r="H1645"/>
      <c r="K1645" s="1"/>
      <c r="L1645" s="33"/>
      <c r="M1645" s="1"/>
      <c r="N1645" s="38">
        <f t="shared" si="25"/>
        <v>0</v>
      </c>
    </row>
    <row r="1646" spans="1:14" x14ac:dyDescent="0.25">
      <c r="A1646" t="s">
        <v>81</v>
      </c>
      <c r="B1646" s="43" t="s">
        <v>163</v>
      </c>
      <c r="C1646" s="62">
        <f>VLOOKUP(B1646,合并仓明细!$D$2:$F$74,3,0)</f>
        <v>115</v>
      </c>
      <c r="D1646" t="s">
        <v>413</v>
      </c>
      <c r="E1646" s="43" t="s">
        <v>252</v>
      </c>
      <c r="F1646" t="s">
        <v>66</v>
      </c>
      <c r="G1646" s="42">
        <v>13967.340000000004</v>
      </c>
      <c r="H1646"/>
      <c r="I1646" s="46"/>
      <c r="K1646" s="1"/>
      <c r="L1646" s="33"/>
      <c r="M1646" s="1"/>
      <c r="N1646" s="38">
        <f t="shared" si="25"/>
        <v>0</v>
      </c>
    </row>
    <row r="1647" spans="1:14" x14ac:dyDescent="0.25">
      <c r="A1647" t="s">
        <v>81</v>
      </c>
      <c r="B1647" s="43" t="s">
        <v>163</v>
      </c>
      <c r="C1647" s="62">
        <f>VLOOKUP(B1647,合并仓明细!$D$2:$F$74,3,0)</f>
        <v>115</v>
      </c>
      <c r="D1647" t="s">
        <v>413</v>
      </c>
      <c r="E1647" s="43" t="s">
        <v>304</v>
      </c>
      <c r="F1647" t="s">
        <v>67</v>
      </c>
      <c r="G1647" s="42">
        <v>2058.9899999999998</v>
      </c>
      <c r="H1647">
        <v>10.276950000000003</v>
      </c>
      <c r="I1647" s="38">
        <f>IF(H1647&gt;30,QUOTIENT(H1647,30)*VLOOKUP(D1647,'报价表-配送'!$B$32:$I$37,8,0),0)+IF(AND(MOD(H1647,30)&gt;18,MOD(H1647,30)&lt;=30),1,0)*VLOOKUP(D1647,'报价表-配送'!$B$32:$I$37,8,0)</f>
        <v>0</v>
      </c>
      <c r="J1647" s="38">
        <f>IF(AND(MOD(H1647,30)&gt;8,MOD(H1647,30)&lt;=18),1*VLOOKUP(D1647,'报价表-配送'!$B$32:$I$37,7,0),0)</f>
        <v>0</v>
      </c>
      <c r="K1647" s="38">
        <f>IF(AND(MOD(H1647,30)&lt;=8,MOD(H1647,30)&gt;0),1,0)*VLOOKUP(D1647,'报价表-配送'!$B$32:$I$37,6,0)</f>
        <v>0</v>
      </c>
      <c r="L1647" s="33"/>
      <c r="M1647" s="1"/>
      <c r="N1647" s="38">
        <f t="shared" si="25"/>
        <v>0</v>
      </c>
    </row>
    <row r="1648" spans="1:14" x14ac:dyDescent="0.25">
      <c r="A1648" t="s">
        <v>81</v>
      </c>
      <c r="B1648" s="43" t="s">
        <v>163</v>
      </c>
      <c r="C1648" s="62">
        <f>VLOOKUP(B1648,合并仓明细!$D$2:$F$74,3,0)</f>
        <v>115</v>
      </c>
      <c r="D1648" t="s">
        <v>413</v>
      </c>
      <c r="E1648" s="43" t="s">
        <v>304</v>
      </c>
      <c r="F1648" t="s">
        <v>66</v>
      </c>
      <c r="G1648" s="42">
        <v>8217.9600000000028</v>
      </c>
      <c r="H1648"/>
      <c r="K1648" s="1"/>
      <c r="L1648" s="33"/>
      <c r="M1648" s="1"/>
      <c r="N1648" s="38">
        <f t="shared" si="25"/>
        <v>0</v>
      </c>
    </row>
    <row r="1649" spans="1:14" x14ac:dyDescent="0.25">
      <c r="A1649" t="s">
        <v>81</v>
      </c>
      <c r="B1649" s="43" t="s">
        <v>163</v>
      </c>
      <c r="C1649" s="62">
        <f>VLOOKUP(B1649,合并仓明细!$D$2:$F$74,3,0)</f>
        <v>115</v>
      </c>
      <c r="D1649" t="s">
        <v>413</v>
      </c>
      <c r="E1649" s="43" t="s">
        <v>253</v>
      </c>
      <c r="F1649" t="s">
        <v>68</v>
      </c>
      <c r="G1649" s="42">
        <v>230.49</v>
      </c>
      <c r="H1649">
        <v>2.4542300000000004</v>
      </c>
      <c r="I1649" s="46">
        <f>ROUNDUP(H1649/30,0)*VLOOKUP(D1649,'报价表-配送'!$B$32:$I$37,8,0)</f>
        <v>0</v>
      </c>
      <c r="K1649" s="1"/>
      <c r="L1649" s="33"/>
      <c r="M1649" s="1"/>
      <c r="N1649" s="38">
        <f t="shared" si="25"/>
        <v>0</v>
      </c>
    </row>
    <row r="1650" spans="1:14" x14ac:dyDescent="0.25">
      <c r="A1650" t="s">
        <v>81</v>
      </c>
      <c r="B1650" s="43" t="s">
        <v>163</v>
      </c>
      <c r="C1650" s="62">
        <f>VLOOKUP(B1650,合并仓明细!$D$2:$F$74,3,0)</f>
        <v>115</v>
      </c>
      <c r="D1650" t="s">
        <v>413</v>
      </c>
      <c r="E1650" s="43" t="s">
        <v>253</v>
      </c>
      <c r="F1650" t="s">
        <v>67</v>
      </c>
      <c r="G1650" s="42">
        <v>1117.28</v>
      </c>
      <c r="H1650"/>
      <c r="K1650" s="1"/>
      <c r="L1650" s="33"/>
      <c r="M1650" s="1"/>
      <c r="N1650" s="38">
        <f t="shared" si="25"/>
        <v>0</v>
      </c>
    </row>
    <row r="1651" spans="1:14" x14ac:dyDescent="0.25">
      <c r="A1651" t="s">
        <v>81</v>
      </c>
      <c r="B1651" s="43" t="s">
        <v>163</v>
      </c>
      <c r="C1651" s="62">
        <f>VLOOKUP(B1651,合并仓明细!$D$2:$F$74,3,0)</f>
        <v>115</v>
      </c>
      <c r="D1651" t="s">
        <v>413</v>
      </c>
      <c r="E1651" s="43" t="s">
        <v>253</v>
      </c>
      <c r="F1651" t="s">
        <v>66</v>
      </c>
      <c r="G1651" s="42">
        <v>1106.4600000000005</v>
      </c>
      <c r="H1651"/>
      <c r="K1651" s="1"/>
      <c r="L1651" s="33"/>
      <c r="M1651" s="1"/>
      <c r="N1651" s="38">
        <f t="shared" si="25"/>
        <v>0</v>
      </c>
    </row>
    <row r="1652" spans="1:14" x14ac:dyDescent="0.25">
      <c r="A1652" t="s">
        <v>81</v>
      </c>
      <c r="B1652" s="43" t="s">
        <v>163</v>
      </c>
      <c r="C1652" s="62">
        <f>VLOOKUP(B1652,合并仓明细!$D$2:$F$74,3,0)</f>
        <v>115</v>
      </c>
      <c r="D1652" t="s">
        <v>413</v>
      </c>
      <c r="E1652" s="43" t="s">
        <v>328</v>
      </c>
      <c r="F1652" t="s">
        <v>66</v>
      </c>
      <c r="G1652" s="42">
        <v>2070.5</v>
      </c>
      <c r="H1652">
        <v>2.0705</v>
      </c>
      <c r="I1652" s="46"/>
      <c r="K1652" s="1"/>
      <c r="L1652" s="37">
        <f>IF(H1652&gt;30,QUOTIENT(H1652,30)*VLOOKUP(D1652,'报价表-配送'!$B$32:$I$37,8,0),0)+IF(AND(MOD(H1652,30)&gt;18,MOD(H1652,30)&lt;=30),1,0)*VLOOKUP(D1652,'报价表-配送'!$B$32:$I$37,8,0)+IF(AND(MOD(H1652,30)&gt;8,MOD(H1652,30)&lt;=18),1*VLOOKUP(D1652,'报价表-配送'!$B$32:$I$37,7,0),0)+IF(AND(MOD(H1652,30)&lt;=8,MOD(H1652,30)&gt;2.5),1,0)*VLOOKUP(D1652,'报价表-配送'!$B$32:$I$37,6,0)+IF(AND(MOD(H1652,30)&lt;=2.5,MOD(H1652,30)&gt;=1.5),1,0)*VLOOKUP(D1652,'报价表-配送'!$B$32:$I$37,5,0)</f>
        <v>0</v>
      </c>
      <c r="M1652" s="39">
        <f>IF(AND(MOD(H1652,30)&lt;1.5,MOD(H1652,30)&gt;=0.5),H1652,0)*VLOOKUP(D1652,'报价表-配送'!$B$32:$I$37,4,0)*1000+IF(AND(MOD(H1652,30)&lt;0.5,MOD(H1652,30)&gt;=0.02),H1652,0)*VLOOKUP(D1652,'报价表-配送'!$B$32:$I$37,3,0)*1000+IF(AND(MOD(H1652,30)&lt;0.02),H1652,0)*VLOOKUP(D1652,'报价表-配送'!$B$32:$I$37,2,0)*1000</f>
        <v>0</v>
      </c>
      <c r="N1652" s="38">
        <f t="shared" si="25"/>
        <v>0</v>
      </c>
    </row>
    <row r="1653" spans="1:14" x14ac:dyDescent="0.25">
      <c r="A1653" t="s">
        <v>81</v>
      </c>
      <c r="B1653" s="43" t="s">
        <v>163</v>
      </c>
      <c r="C1653" s="62">
        <f>VLOOKUP(B1653,合并仓明细!$D$2:$F$74,3,0)</f>
        <v>115</v>
      </c>
      <c r="D1653" t="s">
        <v>413</v>
      </c>
      <c r="E1653" s="43" t="s">
        <v>254</v>
      </c>
      <c r="F1653" t="s">
        <v>68</v>
      </c>
      <c r="G1653" s="42">
        <v>258.24</v>
      </c>
      <c r="H1653">
        <v>0.74314000000000013</v>
      </c>
      <c r="I1653" s="46">
        <f>ROUNDUP(H1653/30,0)*VLOOKUP(D1653,'报价表-配送'!$B$32:$I$37,8,0)</f>
        <v>0</v>
      </c>
      <c r="K1653" s="1"/>
      <c r="L1653" s="33"/>
      <c r="M1653" s="1"/>
      <c r="N1653" s="38">
        <f t="shared" si="25"/>
        <v>0</v>
      </c>
    </row>
    <row r="1654" spans="1:14" x14ac:dyDescent="0.25">
      <c r="A1654" t="s">
        <v>81</v>
      </c>
      <c r="B1654" s="43" t="s">
        <v>163</v>
      </c>
      <c r="C1654" s="62">
        <f>VLOOKUP(B1654,合并仓明细!$D$2:$F$74,3,0)</f>
        <v>115</v>
      </c>
      <c r="D1654" t="s">
        <v>413</v>
      </c>
      <c r="E1654" s="43" t="s">
        <v>254</v>
      </c>
      <c r="F1654" t="s">
        <v>66</v>
      </c>
      <c r="G1654" s="42">
        <v>484.90000000000003</v>
      </c>
      <c r="H1654"/>
      <c r="K1654" s="1"/>
      <c r="L1654" s="33"/>
      <c r="M1654" s="1"/>
      <c r="N1654" s="38">
        <f t="shared" si="25"/>
        <v>0</v>
      </c>
    </row>
    <row r="1655" spans="1:14" x14ac:dyDescent="0.25">
      <c r="A1655" t="s">
        <v>81</v>
      </c>
      <c r="B1655" s="43" t="s">
        <v>164</v>
      </c>
      <c r="C1655" s="62">
        <f>VLOOKUP(B1655,合并仓明细!$D$2:$F$74,3,0)</f>
        <v>174</v>
      </c>
      <c r="D1655" t="s">
        <v>413</v>
      </c>
      <c r="E1655" s="43" t="s">
        <v>266</v>
      </c>
      <c r="F1655" t="s">
        <v>66</v>
      </c>
      <c r="G1655" s="42">
        <v>30.479999999999997</v>
      </c>
      <c r="H1655">
        <v>3.0479999999999997E-2</v>
      </c>
      <c r="I1655" s="38"/>
      <c r="J1655" s="38"/>
      <c r="K1655" s="38"/>
      <c r="L1655" s="37">
        <f>IF(H1655&gt;30,QUOTIENT(H1655,30)*VLOOKUP(D1655,'报价表-配送'!$B$32:$I$37,8,0),0)+IF(AND(MOD(H1655,30)&gt;18,MOD(H1655,30)&lt;=30),1,0)*VLOOKUP(D1655,'报价表-配送'!$B$32:$I$37,8,0)+IF(AND(MOD(H1655,30)&gt;8,MOD(H1655,30)&lt;=18),1*VLOOKUP(D1655,'报价表-配送'!$B$32:$I$37,7,0),0)+IF(AND(MOD(H1655,30)&lt;=8,MOD(H1655,30)&gt;2.5),1,0)*VLOOKUP(D1655,'报价表-配送'!$B$32:$I$37,6,0)+IF(AND(MOD(H1655,30)&lt;=2.5,MOD(H1655,30)&gt;=1.5),1,0)*VLOOKUP(D1655,'报价表-配送'!$B$32:$I$37,5,0)</f>
        <v>0</v>
      </c>
      <c r="M1655" s="39">
        <f>IF(AND(MOD(H1655,30)&lt;1.5,MOD(H1655,30)&gt;=0.5),H1655,0)*VLOOKUP(D1655,'报价表-配送'!$B$32:$I$37,4,0)*1000+IF(AND(MOD(H1655,30)&lt;0.5,MOD(H1655,30)&gt;=0.02),H1655,0)*VLOOKUP(D1655,'报价表-配送'!$B$32:$I$37,3,0)*1000+IF(AND(MOD(H1655,30)&lt;0.02),H1655,0)*VLOOKUP(D1655,'报价表-配送'!$B$32:$I$37,2,0)*1000</f>
        <v>0</v>
      </c>
      <c r="N1655" s="38">
        <f t="shared" si="25"/>
        <v>0</v>
      </c>
    </row>
    <row r="1656" spans="1:14" x14ac:dyDescent="0.25">
      <c r="A1656" t="s">
        <v>81</v>
      </c>
      <c r="B1656" s="43" t="s">
        <v>164</v>
      </c>
      <c r="C1656" s="62">
        <f>VLOOKUP(B1656,合并仓明细!$D$2:$F$74,3,0)</f>
        <v>174</v>
      </c>
      <c r="D1656" t="s">
        <v>413</v>
      </c>
      <c r="E1656" s="43" t="s">
        <v>276</v>
      </c>
      <c r="F1656" t="s">
        <v>66</v>
      </c>
      <c r="G1656" s="42">
        <v>536.98</v>
      </c>
      <c r="H1656">
        <v>0.53698000000000001</v>
      </c>
      <c r="K1656" s="1"/>
      <c r="L1656" s="37">
        <f>IF(H1656&gt;30,QUOTIENT(H1656,30)*VLOOKUP(D1656,'报价表-配送'!$B$32:$I$37,8,0),0)+IF(AND(MOD(H1656,30)&gt;18,MOD(H1656,30)&lt;=30),1,0)*VLOOKUP(D1656,'报价表-配送'!$B$32:$I$37,8,0)+IF(AND(MOD(H1656,30)&gt;8,MOD(H1656,30)&lt;=18),1*VLOOKUP(D1656,'报价表-配送'!$B$32:$I$37,7,0),0)+IF(AND(MOD(H1656,30)&lt;=8,MOD(H1656,30)&gt;2.5),1,0)*VLOOKUP(D1656,'报价表-配送'!$B$32:$I$37,6,0)+IF(AND(MOD(H1656,30)&lt;=2.5,MOD(H1656,30)&gt;=1.5),1,0)*VLOOKUP(D1656,'报价表-配送'!$B$32:$I$37,5,0)</f>
        <v>0</v>
      </c>
      <c r="M1656" s="39">
        <f>IF(AND(MOD(H1656,30)&lt;1.5,MOD(H1656,30)&gt;=0.5),H1656,0)*VLOOKUP(D1656,'报价表-配送'!$B$32:$I$37,4,0)*1000+IF(AND(MOD(H1656,30)&lt;0.5,MOD(H1656,30)&gt;=0.02),H1656,0)*VLOOKUP(D1656,'报价表-配送'!$B$32:$I$37,3,0)*1000+IF(AND(MOD(H1656,30)&lt;0.02),H1656,0)*VLOOKUP(D1656,'报价表-配送'!$B$32:$I$37,2,0)*1000</f>
        <v>0</v>
      </c>
      <c r="N1656" s="38">
        <f t="shared" si="25"/>
        <v>0</v>
      </c>
    </row>
    <row r="1657" spans="1:14" x14ac:dyDescent="0.25">
      <c r="A1657" t="s">
        <v>81</v>
      </c>
      <c r="B1657" s="43" t="s">
        <v>164</v>
      </c>
      <c r="C1657" s="62">
        <f>VLOOKUP(B1657,合并仓明细!$D$2:$F$74,3,0)</f>
        <v>174</v>
      </c>
      <c r="D1657" t="s">
        <v>413</v>
      </c>
      <c r="E1657" s="43" t="s">
        <v>282</v>
      </c>
      <c r="F1657" t="s">
        <v>66</v>
      </c>
      <c r="G1657" s="42">
        <v>29.25</v>
      </c>
      <c r="H1657">
        <v>2.9250000000000002E-2</v>
      </c>
      <c r="I1657" s="46"/>
      <c r="K1657" s="1"/>
      <c r="L1657" s="37">
        <f>IF(H1657&gt;30,QUOTIENT(H1657,30)*VLOOKUP(D1657,'报价表-配送'!$B$32:$I$37,8,0),0)+IF(AND(MOD(H1657,30)&gt;18,MOD(H1657,30)&lt;=30),1,0)*VLOOKUP(D1657,'报价表-配送'!$B$32:$I$37,8,0)+IF(AND(MOD(H1657,30)&gt;8,MOD(H1657,30)&lt;=18),1*VLOOKUP(D1657,'报价表-配送'!$B$32:$I$37,7,0),0)+IF(AND(MOD(H1657,30)&lt;=8,MOD(H1657,30)&gt;2.5),1,0)*VLOOKUP(D1657,'报价表-配送'!$B$32:$I$37,6,0)+IF(AND(MOD(H1657,30)&lt;=2.5,MOD(H1657,30)&gt;=1.5),1,0)*VLOOKUP(D1657,'报价表-配送'!$B$32:$I$37,5,0)</f>
        <v>0</v>
      </c>
      <c r="M1657" s="39">
        <f>IF(AND(MOD(H1657,30)&lt;1.5,MOD(H1657,30)&gt;=0.5),H1657,0)*VLOOKUP(D1657,'报价表-配送'!$B$32:$I$37,4,0)*1000+IF(AND(MOD(H1657,30)&lt;0.5,MOD(H1657,30)&gt;=0.02),H1657,0)*VLOOKUP(D1657,'报价表-配送'!$B$32:$I$37,3,0)*1000+IF(AND(MOD(H1657,30)&lt;0.02),H1657,0)*VLOOKUP(D1657,'报价表-配送'!$B$32:$I$37,2,0)*1000</f>
        <v>0</v>
      </c>
      <c r="N1657" s="38">
        <f t="shared" si="25"/>
        <v>0</v>
      </c>
    </row>
    <row r="1658" spans="1:14" x14ac:dyDescent="0.25">
      <c r="A1658" t="s">
        <v>81</v>
      </c>
      <c r="B1658" s="43" t="s">
        <v>164</v>
      </c>
      <c r="C1658" s="62">
        <f>VLOOKUP(B1658,合并仓明细!$D$2:$F$74,3,0)</f>
        <v>174</v>
      </c>
      <c r="D1658" t="s">
        <v>413</v>
      </c>
      <c r="E1658" s="43" t="s">
        <v>339</v>
      </c>
      <c r="F1658" t="s">
        <v>66</v>
      </c>
      <c r="G1658" s="42">
        <v>2.99</v>
      </c>
      <c r="H1658">
        <v>2.99E-3</v>
      </c>
      <c r="K1658" s="1"/>
      <c r="L1658" s="37">
        <f>IF(H1658&gt;30,QUOTIENT(H1658,30)*VLOOKUP(D1658,'报价表-配送'!$B$32:$I$37,8,0),0)+IF(AND(MOD(H1658,30)&gt;18,MOD(H1658,30)&lt;=30),1,0)*VLOOKUP(D1658,'报价表-配送'!$B$32:$I$37,8,0)+IF(AND(MOD(H1658,30)&gt;8,MOD(H1658,30)&lt;=18),1*VLOOKUP(D1658,'报价表-配送'!$B$32:$I$37,7,0),0)+IF(AND(MOD(H1658,30)&lt;=8,MOD(H1658,30)&gt;2.5),1,0)*VLOOKUP(D1658,'报价表-配送'!$B$32:$I$37,6,0)+IF(AND(MOD(H1658,30)&lt;=2.5,MOD(H1658,30)&gt;=1.5),1,0)*VLOOKUP(D1658,'报价表-配送'!$B$32:$I$37,5,0)</f>
        <v>0</v>
      </c>
      <c r="M1658" s="39">
        <f>IF(AND(MOD(H1658,30)&lt;1.5,MOD(H1658,30)&gt;=0.5),H1658,0)*VLOOKUP(D1658,'报价表-配送'!$B$32:$I$37,4,0)*1000+IF(AND(MOD(H1658,30)&lt;0.5,MOD(H1658,30)&gt;=0.02),H1658,0)*VLOOKUP(D1658,'报价表-配送'!$B$32:$I$37,3,0)*1000+IF(AND(MOD(H1658,30)&lt;0.02),H1658,0)*VLOOKUP(D1658,'报价表-配送'!$B$32:$I$37,2,0)*1000</f>
        <v>0</v>
      </c>
      <c r="N1658" s="38">
        <f t="shared" si="25"/>
        <v>0</v>
      </c>
    </row>
    <row r="1659" spans="1:14" x14ac:dyDescent="0.25">
      <c r="A1659" t="s">
        <v>81</v>
      </c>
      <c r="B1659" s="43" t="s">
        <v>164</v>
      </c>
      <c r="C1659" s="62">
        <f>VLOOKUP(B1659,合并仓明细!$D$2:$F$74,3,0)</f>
        <v>174</v>
      </c>
      <c r="D1659" t="s">
        <v>413</v>
      </c>
      <c r="E1659" s="43" t="s">
        <v>283</v>
      </c>
      <c r="F1659" t="s">
        <v>66</v>
      </c>
      <c r="G1659" s="42">
        <v>137.65</v>
      </c>
      <c r="H1659">
        <v>0.13764999999999999</v>
      </c>
      <c r="K1659" s="1"/>
      <c r="L1659" s="37">
        <f>IF(H1659&gt;30,QUOTIENT(H1659,30)*VLOOKUP(D1659,'报价表-配送'!$B$32:$I$37,8,0),0)+IF(AND(MOD(H1659,30)&gt;18,MOD(H1659,30)&lt;=30),1,0)*VLOOKUP(D1659,'报价表-配送'!$B$32:$I$37,8,0)+IF(AND(MOD(H1659,30)&gt;8,MOD(H1659,30)&lt;=18),1*VLOOKUP(D1659,'报价表-配送'!$B$32:$I$37,7,0),0)+IF(AND(MOD(H1659,30)&lt;=8,MOD(H1659,30)&gt;2.5),1,0)*VLOOKUP(D1659,'报价表-配送'!$B$32:$I$37,6,0)+IF(AND(MOD(H1659,30)&lt;=2.5,MOD(H1659,30)&gt;=1.5),1,0)*VLOOKUP(D1659,'报价表-配送'!$B$32:$I$37,5,0)</f>
        <v>0</v>
      </c>
      <c r="M1659" s="39">
        <f>IF(AND(MOD(H1659,30)&lt;1.5,MOD(H1659,30)&gt;=0.5),H1659,0)*VLOOKUP(D1659,'报价表-配送'!$B$32:$I$37,4,0)*1000+IF(AND(MOD(H1659,30)&lt;0.5,MOD(H1659,30)&gt;=0.02),H1659,0)*VLOOKUP(D1659,'报价表-配送'!$B$32:$I$37,3,0)*1000+IF(AND(MOD(H1659,30)&lt;0.02),H1659,0)*VLOOKUP(D1659,'报价表-配送'!$B$32:$I$37,2,0)*1000</f>
        <v>0</v>
      </c>
      <c r="N1659" s="38">
        <f t="shared" si="25"/>
        <v>0</v>
      </c>
    </row>
    <row r="1660" spans="1:14" x14ac:dyDescent="0.25">
      <c r="A1660" t="s">
        <v>81</v>
      </c>
      <c r="B1660" s="43" t="s">
        <v>164</v>
      </c>
      <c r="C1660" s="62">
        <f>VLOOKUP(B1660,合并仓明细!$D$2:$F$74,3,0)</f>
        <v>174</v>
      </c>
      <c r="D1660" t="s">
        <v>413</v>
      </c>
      <c r="E1660" s="43" t="s">
        <v>285</v>
      </c>
      <c r="F1660" t="s">
        <v>66</v>
      </c>
      <c r="G1660" s="42">
        <v>769.27999999999975</v>
      </c>
      <c r="H1660">
        <v>0.76927999999999974</v>
      </c>
      <c r="I1660" s="46"/>
      <c r="K1660" s="1"/>
      <c r="L1660" s="37">
        <f>IF(H1660&gt;30,QUOTIENT(H1660,30)*VLOOKUP(D1660,'报价表-配送'!$B$32:$I$37,8,0),0)+IF(AND(MOD(H1660,30)&gt;18,MOD(H1660,30)&lt;=30),1,0)*VLOOKUP(D1660,'报价表-配送'!$B$32:$I$37,8,0)+IF(AND(MOD(H1660,30)&gt;8,MOD(H1660,30)&lt;=18),1*VLOOKUP(D1660,'报价表-配送'!$B$32:$I$37,7,0),0)+IF(AND(MOD(H1660,30)&lt;=8,MOD(H1660,30)&gt;2.5),1,0)*VLOOKUP(D1660,'报价表-配送'!$B$32:$I$37,6,0)+IF(AND(MOD(H1660,30)&lt;=2.5,MOD(H1660,30)&gt;=1.5),1,0)*VLOOKUP(D1660,'报价表-配送'!$B$32:$I$37,5,0)</f>
        <v>0</v>
      </c>
      <c r="M1660" s="39">
        <f>IF(AND(MOD(H1660,30)&lt;1.5,MOD(H1660,30)&gt;=0.5),H1660,0)*VLOOKUP(D1660,'报价表-配送'!$B$32:$I$37,4,0)*1000+IF(AND(MOD(H1660,30)&lt;0.5,MOD(H1660,30)&gt;=0.02),H1660,0)*VLOOKUP(D1660,'报价表-配送'!$B$32:$I$37,3,0)*1000+IF(AND(MOD(H1660,30)&lt;0.02),H1660,0)*VLOOKUP(D1660,'报价表-配送'!$B$32:$I$37,2,0)*1000</f>
        <v>0</v>
      </c>
      <c r="N1660" s="38">
        <f t="shared" si="25"/>
        <v>0</v>
      </c>
    </row>
    <row r="1661" spans="1:14" x14ac:dyDescent="0.25">
      <c r="A1661" t="s">
        <v>81</v>
      </c>
      <c r="B1661" s="43" t="s">
        <v>164</v>
      </c>
      <c r="C1661" s="62">
        <f>VLOOKUP(B1661,合并仓明细!$D$2:$F$74,3,0)</f>
        <v>174</v>
      </c>
      <c r="D1661" t="s">
        <v>413</v>
      </c>
      <c r="E1661" s="43" t="s">
        <v>291</v>
      </c>
      <c r="F1661" t="s">
        <v>67</v>
      </c>
      <c r="G1661" s="42">
        <v>7336.35</v>
      </c>
      <c r="H1661">
        <v>7.3645700000000005</v>
      </c>
      <c r="I1661" s="38">
        <f>IF(H1661&gt;30,QUOTIENT(H1661,30)*VLOOKUP(D1661,'报价表-配送'!$B$32:$I$37,8,0),0)+IF(AND(MOD(H1661,30)&gt;18,MOD(H1661,30)&lt;=30),1,0)*VLOOKUP(D1661,'报价表-配送'!$B$32:$I$37,8,0)</f>
        <v>0</v>
      </c>
      <c r="J1661" s="38">
        <f>IF(AND(MOD(H1661,30)&gt;8,MOD(H1661,30)&lt;=18),1*VLOOKUP(D1661,'报价表-配送'!$B$32:$I$37,7,0),0)</f>
        <v>0</v>
      </c>
      <c r="K1661" s="38">
        <f>IF(AND(MOD(H1661,30)&lt;=8,MOD(H1661,30)&gt;0),1,0)*VLOOKUP(D1661,'报价表-配送'!$B$32:$I$37,6,0)</f>
        <v>0</v>
      </c>
      <c r="L1661" s="33"/>
      <c r="M1661" s="1"/>
      <c r="N1661" s="38">
        <f t="shared" si="25"/>
        <v>0</v>
      </c>
    </row>
    <row r="1662" spans="1:14" x14ac:dyDescent="0.25">
      <c r="A1662" t="s">
        <v>81</v>
      </c>
      <c r="B1662" s="43" t="s">
        <v>164</v>
      </c>
      <c r="C1662" s="62">
        <f>VLOOKUP(B1662,合并仓明细!$D$2:$F$74,3,0)</f>
        <v>174</v>
      </c>
      <c r="D1662" t="s">
        <v>413</v>
      </c>
      <c r="E1662" s="43" t="s">
        <v>291</v>
      </c>
      <c r="F1662" t="s">
        <v>66</v>
      </c>
      <c r="G1662" s="42">
        <v>28.22</v>
      </c>
      <c r="H1662"/>
      <c r="K1662" s="1"/>
      <c r="L1662" s="33"/>
      <c r="M1662" s="1"/>
      <c r="N1662" s="38">
        <f t="shared" si="25"/>
        <v>0</v>
      </c>
    </row>
    <row r="1663" spans="1:14" x14ac:dyDescent="0.25">
      <c r="A1663" t="s">
        <v>81</v>
      </c>
      <c r="B1663" s="43" t="s">
        <v>164</v>
      </c>
      <c r="C1663" s="62">
        <f>VLOOKUP(B1663,合并仓明细!$D$2:$F$74,3,0)</f>
        <v>174</v>
      </c>
      <c r="D1663" t="s">
        <v>413</v>
      </c>
      <c r="E1663" s="43" t="s">
        <v>356</v>
      </c>
      <c r="F1663" t="s">
        <v>66</v>
      </c>
      <c r="G1663" s="42">
        <v>112.48</v>
      </c>
      <c r="H1663">
        <v>0.11248000000000001</v>
      </c>
      <c r="I1663" s="46"/>
      <c r="K1663" s="1"/>
      <c r="L1663" s="37">
        <f>IF(H1663&gt;30,QUOTIENT(H1663,30)*VLOOKUP(D1663,'报价表-配送'!$B$32:$I$37,8,0),0)+IF(AND(MOD(H1663,30)&gt;18,MOD(H1663,30)&lt;=30),1,0)*VLOOKUP(D1663,'报价表-配送'!$B$32:$I$37,8,0)+IF(AND(MOD(H1663,30)&gt;8,MOD(H1663,30)&lt;=18),1*VLOOKUP(D1663,'报价表-配送'!$B$32:$I$37,7,0),0)+IF(AND(MOD(H1663,30)&lt;=8,MOD(H1663,30)&gt;2.5),1,0)*VLOOKUP(D1663,'报价表-配送'!$B$32:$I$37,6,0)+IF(AND(MOD(H1663,30)&lt;=2.5,MOD(H1663,30)&gt;=1.5),1,0)*VLOOKUP(D1663,'报价表-配送'!$B$32:$I$37,5,0)</f>
        <v>0</v>
      </c>
      <c r="M1663" s="39">
        <f>IF(AND(MOD(H1663,30)&lt;1.5,MOD(H1663,30)&gt;=0.5),H1663,0)*VLOOKUP(D1663,'报价表-配送'!$B$32:$I$37,4,0)*1000+IF(AND(MOD(H1663,30)&lt;0.5,MOD(H1663,30)&gt;=0.02),H1663,0)*VLOOKUP(D1663,'报价表-配送'!$B$32:$I$37,3,0)*1000+IF(AND(MOD(H1663,30)&lt;0.02),H1663,0)*VLOOKUP(D1663,'报价表-配送'!$B$32:$I$37,2,0)*1000</f>
        <v>0</v>
      </c>
      <c r="N1663" s="38">
        <f t="shared" si="25"/>
        <v>0</v>
      </c>
    </row>
    <row r="1664" spans="1:14" x14ac:dyDescent="0.25">
      <c r="A1664" t="s">
        <v>81</v>
      </c>
      <c r="B1664" s="43" t="s">
        <v>165</v>
      </c>
      <c r="C1664" s="62">
        <f>VLOOKUP(B1664,合并仓明细!$D$2:$F$74,3,0)</f>
        <v>234</v>
      </c>
      <c r="D1664" s="44" t="s">
        <v>414</v>
      </c>
      <c r="E1664" s="43" t="s">
        <v>283</v>
      </c>
      <c r="F1664" t="s">
        <v>67</v>
      </c>
      <c r="G1664" s="42">
        <v>54.67</v>
      </c>
      <c r="H1664">
        <v>5.4670000000000003E-2</v>
      </c>
      <c r="I1664" s="38">
        <f>IF(H1664&gt;30,QUOTIENT(H1664,30)*VLOOKUP(D1664,'报价表-配送'!$B$32:$I$37,8,0),0)+IF(AND(MOD(H1664,30)&gt;18,MOD(H1664,30)&lt;=30),1,0)*VLOOKUP(D1664,'报价表-配送'!$B$32:$I$37,8,0)</f>
        <v>0</v>
      </c>
      <c r="J1664" s="38">
        <f>IF(AND(MOD(H1664,30)&gt;8,MOD(H1664,30)&lt;=18),1*VLOOKUP(D1664,'报价表-配送'!$B$32:$I$37,7,0),0)</f>
        <v>0</v>
      </c>
      <c r="K1664" s="38">
        <f>IF(AND(MOD(H1664,30)&lt;=8,MOD(H1664,30)&gt;0),1,0)*VLOOKUP(D1664,'报价表-配送'!$B$32:$I$37,6,0)</f>
        <v>0</v>
      </c>
      <c r="L1664" s="33"/>
      <c r="M1664" s="1"/>
      <c r="N1664" s="38">
        <f t="shared" si="25"/>
        <v>0</v>
      </c>
    </row>
    <row r="1665" spans="1:14" x14ac:dyDescent="0.25">
      <c r="A1665" t="s">
        <v>81</v>
      </c>
      <c r="B1665" s="43" t="s">
        <v>165</v>
      </c>
      <c r="C1665" s="62">
        <f>VLOOKUP(B1665,合并仓明细!$D$2:$F$74,3,0)</f>
        <v>234</v>
      </c>
      <c r="D1665" s="44" t="s">
        <v>414</v>
      </c>
      <c r="E1665" s="43" t="s">
        <v>283</v>
      </c>
      <c r="F1665" t="s">
        <v>67</v>
      </c>
      <c r="G1665" s="111">
        <v>8303.08</v>
      </c>
      <c r="H1665" s="103">
        <v>8.3030799999999996</v>
      </c>
      <c r="I1665" s="38">
        <f>IF(H1665&gt;30,QUOTIENT(H1665,30)*VLOOKUP(D1665,'报价表-配送'!$B$32:$I$37,8,0),0)+IF(AND(MOD(H1665,30)&gt;18,MOD(H1665,30)&lt;=30),1,0)*VLOOKUP(D1665,'报价表-配送'!$B$32:$I$37,8,0)</f>
        <v>0</v>
      </c>
      <c r="J1665" s="38">
        <f>IF(AND(MOD(H1665,30)&gt;8,MOD(H1665,30)&lt;=18),1*VLOOKUP(D1665,'报价表-配送'!$B$32:$I$37,7,0),0)</f>
        <v>0</v>
      </c>
      <c r="K1665" s="38">
        <f>IF(AND(MOD(H1665,30)&lt;=8,MOD(H1665,30)&gt;0),1,0)*VLOOKUP(D1665,'报价表-配送'!$B$32:$I$37,6,0)</f>
        <v>0</v>
      </c>
      <c r="L1665" s="33"/>
      <c r="M1665" s="1"/>
      <c r="N1665" s="38">
        <f t="shared" si="25"/>
        <v>0</v>
      </c>
    </row>
    <row r="1666" spans="1:14" x14ac:dyDescent="0.25">
      <c r="A1666" t="s">
        <v>81</v>
      </c>
      <c r="B1666" s="43" t="s">
        <v>165</v>
      </c>
      <c r="C1666" s="62">
        <f>VLOOKUP(B1666,合并仓明细!$D$2:$F$74,3,0)</f>
        <v>234</v>
      </c>
      <c r="D1666" s="44" t="s">
        <v>414</v>
      </c>
      <c r="E1666" s="43" t="s">
        <v>328</v>
      </c>
      <c r="F1666" t="s">
        <v>66</v>
      </c>
      <c r="G1666" s="42">
        <v>15.560000000000002</v>
      </c>
      <c r="H1666">
        <v>1.5560000000000003E-2</v>
      </c>
      <c r="I1666" s="46"/>
      <c r="K1666" s="1"/>
      <c r="L1666" s="37">
        <f>IF(H1666&gt;30,QUOTIENT(H1666,30)*VLOOKUP(D1666,'报价表-配送'!$B$32:$I$37,8,0),0)+IF(AND(MOD(H1666,30)&gt;18,MOD(H1666,30)&lt;=30),1,0)*VLOOKUP(D1666,'报价表-配送'!$B$32:$I$37,8,0)+IF(AND(MOD(H1666,30)&gt;8,MOD(H1666,30)&lt;=18),1*VLOOKUP(D1666,'报价表-配送'!$B$32:$I$37,7,0),0)+IF(AND(MOD(H1666,30)&lt;=8,MOD(H1666,30)&gt;2.5),1,0)*VLOOKUP(D1666,'报价表-配送'!$B$32:$I$37,6,0)+IF(AND(MOD(H1666,30)&lt;=2.5,MOD(H1666,30)&gt;=1.5),1,0)*VLOOKUP(D1666,'报价表-配送'!$B$32:$I$37,5,0)</f>
        <v>0</v>
      </c>
      <c r="M1666" s="39">
        <f>IF(AND(MOD(H1666,30)&lt;1.5,MOD(H1666,30)&gt;=0.5),H1666,0)*VLOOKUP(D1666,'报价表-配送'!$B$32:$I$37,4,0)*1000+IF(AND(MOD(H1666,30)&lt;0.5,MOD(H1666,30)&gt;=0.02),H1666,0)*VLOOKUP(D1666,'报价表-配送'!$B$32:$I$37,3,0)*1000+IF(AND(MOD(H1666,30)&lt;0.02),H1666,0)*VLOOKUP(D1666,'报价表-配送'!$B$32:$I$37,2,0)*1000</f>
        <v>0</v>
      </c>
      <c r="N1666" s="38">
        <f t="shared" si="25"/>
        <v>0</v>
      </c>
    </row>
    <row r="1667" spans="1:14" x14ac:dyDescent="0.25">
      <c r="A1667" t="s">
        <v>81</v>
      </c>
      <c r="B1667" s="43" t="s">
        <v>166</v>
      </c>
      <c r="C1667" s="62">
        <f>VLOOKUP(B1667,合并仓明细!$D$2:$F$74,3,0)</f>
        <v>220</v>
      </c>
      <c r="D1667" s="44" t="s">
        <v>414</v>
      </c>
      <c r="E1667" s="43" t="s">
        <v>282</v>
      </c>
      <c r="F1667" t="s">
        <v>68</v>
      </c>
      <c r="G1667" s="42">
        <v>2591.5100000000002</v>
      </c>
      <c r="H1667">
        <v>34.225950000000005</v>
      </c>
      <c r="I1667" s="46">
        <f>ROUNDUP(H1667/30,0)*VLOOKUP(D1667,'报价表-配送'!$B$32:$I$37,8,0)</f>
        <v>0</v>
      </c>
      <c r="K1667" s="1"/>
      <c r="L1667" s="33"/>
      <c r="M1667" s="1"/>
      <c r="N1667" s="38">
        <f t="shared" si="25"/>
        <v>0</v>
      </c>
    </row>
    <row r="1668" spans="1:14" x14ac:dyDescent="0.25">
      <c r="A1668" t="s">
        <v>81</v>
      </c>
      <c r="B1668" s="43" t="s">
        <v>166</v>
      </c>
      <c r="C1668" s="62">
        <f>VLOOKUP(B1668,合并仓明细!$D$2:$F$74,3,0)</f>
        <v>220</v>
      </c>
      <c r="D1668" s="44" t="s">
        <v>414</v>
      </c>
      <c r="E1668" s="43" t="s">
        <v>282</v>
      </c>
      <c r="F1668" t="s">
        <v>67</v>
      </c>
      <c r="G1668" s="42">
        <v>28986.010000000002</v>
      </c>
      <c r="H1668"/>
      <c r="K1668" s="1"/>
      <c r="L1668" s="33"/>
      <c r="M1668" s="1"/>
      <c r="N1668" s="38">
        <f t="shared" si="25"/>
        <v>0</v>
      </c>
    </row>
    <row r="1669" spans="1:14" x14ac:dyDescent="0.25">
      <c r="A1669" t="s">
        <v>81</v>
      </c>
      <c r="B1669" s="43" t="s">
        <v>166</v>
      </c>
      <c r="C1669" s="62">
        <f>VLOOKUP(B1669,合并仓明细!$D$2:$F$74,3,0)</f>
        <v>220</v>
      </c>
      <c r="D1669" s="44" t="s">
        <v>414</v>
      </c>
      <c r="E1669" s="43" t="s">
        <v>282</v>
      </c>
      <c r="F1669" t="s">
        <v>66</v>
      </c>
      <c r="G1669" s="42">
        <v>2648.4300000000007</v>
      </c>
      <c r="H1669"/>
      <c r="I1669" s="46"/>
      <c r="K1669" s="1"/>
      <c r="L1669" s="33"/>
      <c r="M1669" s="1"/>
      <c r="N1669" s="38">
        <f t="shared" si="25"/>
        <v>0</v>
      </c>
    </row>
    <row r="1670" spans="1:14" x14ac:dyDescent="0.25">
      <c r="A1670" t="s">
        <v>81</v>
      </c>
      <c r="B1670" s="43" t="s">
        <v>166</v>
      </c>
      <c r="C1670" s="62">
        <f>VLOOKUP(B1670,合并仓明细!$D$2:$F$74,3,0)</f>
        <v>220</v>
      </c>
      <c r="D1670" s="44" t="s">
        <v>414</v>
      </c>
      <c r="E1670" s="43" t="s">
        <v>339</v>
      </c>
      <c r="F1670" t="s">
        <v>66</v>
      </c>
      <c r="G1670" s="42">
        <v>20.47</v>
      </c>
      <c r="H1670">
        <v>2.0469999999999999E-2</v>
      </c>
      <c r="K1670" s="1"/>
      <c r="L1670" s="37">
        <f>IF(H1670&gt;30,QUOTIENT(H1670,30)*VLOOKUP(D1670,'报价表-配送'!$B$32:$I$37,8,0),0)+IF(AND(MOD(H1670,30)&gt;18,MOD(H1670,30)&lt;=30),1,0)*VLOOKUP(D1670,'报价表-配送'!$B$32:$I$37,8,0)+IF(AND(MOD(H1670,30)&gt;8,MOD(H1670,30)&lt;=18),1*VLOOKUP(D1670,'报价表-配送'!$B$32:$I$37,7,0),0)+IF(AND(MOD(H1670,30)&lt;=8,MOD(H1670,30)&gt;2.5),1,0)*VLOOKUP(D1670,'报价表-配送'!$B$32:$I$37,6,0)+IF(AND(MOD(H1670,30)&lt;=2.5,MOD(H1670,30)&gt;=1.5),1,0)*VLOOKUP(D1670,'报价表-配送'!$B$32:$I$37,5,0)</f>
        <v>0</v>
      </c>
      <c r="M1670" s="39">
        <f>IF(AND(MOD(H1670,30)&lt;1.5,MOD(H1670,30)&gt;=0.5),H1670,0)*VLOOKUP(D1670,'报价表-配送'!$B$32:$I$37,4,0)*1000+IF(AND(MOD(H1670,30)&lt;0.5,MOD(H1670,30)&gt;=0.02),H1670,0)*VLOOKUP(D1670,'报价表-配送'!$B$32:$I$37,3,0)*1000+IF(AND(MOD(H1670,30)&lt;0.02),H1670,0)*VLOOKUP(D1670,'报价表-配送'!$B$32:$I$37,2,0)*1000</f>
        <v>0</v>
      </c>
      <c r="N1670" s="38">
        <f t="shared" si="25"/>
        <v>0</v>
      </c>
    </row>
    <row r="1671" spans="1:14" x14ac:dyDescent="0.25">
      <c r="A1671" t="s">
        <v>81</v>
      </c>
      <c r="B1671" s="43" t="s">
        <v>166</v>
      </c>
      <c r="C1671" s="62">
        <f>VLOOKUP(B1671,合并仓明细!$D$2:$F$74,3,0)</f>
        <v>220</v>
      </c>
      <c r="D1671" s="44" t="s">
        <v>414</v>
      </c>
      <c r="E1671" s="43" t="s">
        <v>283</v>
      </c>
      <c r="F1671" t="s">
        <v>66</v>
      </c>
      <c r="G1671" s="42">
        <v>5.33</v>
      </c>
      <c r="H1671">
        <v>5.3299999999999997E-3</v>
      </c>
      <c r="K1671" s="1"/>
      <c r="L1671" s="37">
        <f>IF(H1671&gt;30,QUOTIENT(H1671,30)*VLOOKUP(D1671,'报价表-配送'!$B$32:$I$37,8,0),0)+IF(AND(MOD(H1671,30)&gt;18,MOD(H1671,30)&lt;=30),1,0)*VLOOKUP(D1671,'报价表-配送'!$B$32:$I$37,8,0)+IF(AND(MOD(H1671,30)&gt;8,MOD(H1671,30)&lt;=18),1*VLOOKUP(D1671,'报价表-配送'!$B$32:$I$37,7,0),0)+IF(AND(MOD(H1671,30)&lt;=8,MOD(H1671,30)&gt;2.5),1,0)*VLOOKUP(D1671,'报价表-配送'!$B$32:$I$37,6,0)+IF(AND(MOD(H1671,30)&lt;=2.5,MOD(H1671,30)&gt;=1.5),1,0)*VLOOKUP(D1671,'报价表-配送'!$B$32:$I$37,5,0)</f>
        <v>0</v>
      </c>
      <c r="M1671" s="39">
        <f>IF(AND(MOD(H1671,30)&lt;1.5,MOD(H1671,30)&gt;=0.5),H1671,0)*VLOOKUP(D1671,'报价表-配送'!$B$32:$I$37,4,0)*1000+IF(AND(MOD(H1671,30)&lt;0.5,MOD(H1671,30)&gt;=0.02),H1671,0)*VLOOKUP(D1671,'报价表-配送'!$B$32:$I$37,3,0)*1000+IF(AND(MOD(H1671,30)&lt;0.02),H1671,0)*VLOOKUP(D1671,'报价表-配送'!$B$32:$I$37,2,0)*1000</f>
        <v>0</v>
      </c>
      <c r="N1671" s="38">
        <f t="shared" si="25"/>
        <v>0</v>
      </c>
    </row>
    <row r="1672" spans="1:14" x14ac:dyDescent="0.25">
      <c r="A1672" t="s">
        <v>81</v>
      </c>
      <c r="B1672" s="43" t="s">
        <v>166</v>
      </c>
      <c r="C1672" s="62">
        <f>VLOOKUP(B1672,合并仓明细!$D$2:$F$74,3,0)</f>
        <v>220</v>
      </c>
      <c r="D1672" s="44" t="s">
        <v>414</v>
      </c>
      <c r="E1672" s="43" t="s">
        <v>313</v>
      </c>
      <c r="F1672" t="s">
        <v>66</v>
      </c>
      <c r="G1672" s="111">
        <v>1701.69</v>
      </c>
      <c r="H1672" s="103">
        <v>1.7016899999999999</v>
      </c>
      <c r="I1672" s="46"/>
      <c r="K1672" s="1"/>
      <c r="L1672" s="37">
        <f>IF(H1672&gt;30,QUOTIENT(H1672,30)*VLOOKUP(D1672,'报价表-配送'!$B$32:$I$37,8,0),0)+IF(AND(MOD(H1672,30)&gt;18,MOD(H1672,30)&lt;=30),1,0)*VLOOKUP(D1672,'报价表-配送'!$B$32:$I$37,8,0)+IF(AND(MOD(H1672,30)&gt;8,MOD(H1672,30)&lt;=18),1*VLOOKUP(D1672,'报价表-配送'!$B$32:$I$37,7,0),0)+IF(AND(MOD(H1672,30)&lt;=8,MOD(H1672,30)&gt;2.5),1,0)*VLOOKUP(D1672,'报价表-配送'!$B$32:$I$37,6,0)+IF(AND(MOD(H1672,30)&lt;=2.5,MOD(H1672,30)&gt;=1.5),1,0)*VLOOKUP(D1672,'报价表-配送'!$B$32:$I$37,5,0)</f>
        <v>0</v>
      </c>
      <c r="M1672" s="39">
        <f>IF(AND(MOD(H1672,30)&lt;1.5,MOD(H1672,30)&gt;=0.5),H1672,0)*VLOOKUP(D1672,'报价表-配送'!$B$32:$I$37,4,0)*1000+IF(AND(MOD(H1672,30)&lt;0.5,MOD(H1672,30)&gt;=0.02),H1672,0)*VLOOKUP(D1672,'报价表-配送'!$B$32:$I$37,3,0)*1000+IF(AND(MOD(H1672,30)&lt;0.02),H1672,0)*VLOOKUP(D1672,'报价表-配送'!$B$32:$I$37,2,0)*1000</f>
        <v>0</v>
      </c>
      <c r="N1672" s="38">
        <f t="shared" si="25"/>
        <v>0</v>
      </c>
    </row>
    <row r="1673" spans="1:14" x14ac:dyDescent="0.25">
      <c r="A1673" t="s">
        <v>79</v>
      </c>
      <c r="B1673" s="43" t="s">
        <v>167</v>
      </c>
      <c r="C1673" s="62">
        <f>VLOOKUP(B1673,合并仓明细!$D$2:$F$74,3,0)</f>
        <v>189</v>
      </c>
      <c r="D1673" t="s">
        <v>413</v>
      </c>
      <c r="E1673" s="43" t="s">
        <v>264</v>
      </c>
      <c r="F1673" t="s">
        <v>66</v>
      </c>
      <c r="G1673" s="42">
        <v>1510</v>
      </c>
      <c r="H1673">
        <v>1.51</v>
      </c>
      <c r="K1673" s="1"/>
      <c r="L1673" s="37">
        <f>IF(H1673&gt;30,QUOTIENT(H1673,30)*VLOOKUP(D1673,'报价表-配送'!$B$40:$I$44,8,0),0)+IF(AND(MOD(H1673,30)&gt;18,MOD(H1673,30)&lt;=30),1,0)*VLOOKUP(D1673,'报价表-配送'!$B$40:$I$44,8,0)+IF(AND(MOD(H1673,30)&gt;8,MOD(H1673,30)&lt;=18),1*VLOOKUP(D1673,'报价表-配送'!$B$40:$I$44,7,0),0)+IF(AND(MOD(H1673,30)&lt;=8,MOD(H1673,30)&gt;2.5),1,0)*VLOOKUP(D1673,'报价表-配送'!$B$40:$I$44,6,0)+IF(AND(MOD(H1673,30)&lt;=2.5,MOD(H1673,30)&gt;=1.5),1,0)*VLOOKUP(D1673,'报价表-配送'!$B$40:$I$44,5,0)</f>
        <v>0</v>
      </c>
      <c r="M1673" s="39">
        <f>IF(AND(MOD(H1673,30)&lt;1.5,MOD(H1673,30)&gt;=0.5),H1673,0)*VLOOKUP(D1673,'报价表-配送'!$B$40:$I$44,4,0)*1000+IF(AND(MOD(H1673,30)&lt;0.5,MOD(H1673,30)&gt;=0.02),H1673,0)*VLOOKUP(D1673,'报价表-配送'!$B$40:$I$44,3,0)*1000+IF(AND(MOD(H1673,30)&lt;0.02),H1673,0)*VLOOKUP(D1673,'报价表-配送'!$B$40:$I$44,2,0)*1000</f>
        <v>0</v>
      </c>
      <c r="N1673" s="38">
        <f t="shared" si="25"/>
        <v>0</v>
      </c>
    </row>
    <row r="1674" spans="1:14" x14ac:dyDescent="0.25">
      <c r="A1674" t="s">
        <v>79</v>
      </c>
      <c r="B1674" s="43" t="s">
        <v>167</v>
      </c>
      <c r="C1674" s="62">
        <f>VLOOKUP(B1674,合并仓明细!$D$2:$F$74,3,0)</f>
        <v>189</v>
      </c>
      <c r="D1674" t="s">
        <v>413</v>
      </c>
      <c r="E1674" s="43" t="s">
        <v>312</v>
      </c>
      <c r="F1674" t="s">
        <v>67</v>
      </c>
      <c r="G1674" s="42">
        <v>237.62</v>
      </c>
      <c r="H1674">
        <v>0.28314</v>
      </c>
      <c r="I1674" s="38">
        <f>IF(H1674&gt;30,QUOTIENT(H1674,30)*VLOOKUP(D1674,'报价表-配送'!$B$40:$I$44,8,0),0)+IF(AND(MOD(H1674,30)&gt;18,MOD(H1674,30)&lt;=30),1,0)*VLOOKUP(D1674,'报价表-配送'!$B$40:$I$44,8,0)</f>
        <v>0</v>
      </c>
      <c r="J1674" s="38">
        <f>IF(AND(MOD(H1674,30)&gt;8,MOD(H1674,30)&lt;=18),1*VLOOKUP(D1674,'报价表-配送'!$B$40:$I$44,7,0),0)</f>
        <v>0</v>
      </c>
      <c r="K1674" s="38">
        <f>IF(AND(MOD(H1674,30)&lt;=8,MOD(H1674,30)&gt;0),1,0)*VLOOKUP(D1674,'报价表-配送'!$B$40:$I$44,6,0)</f>
        <v>0</v>
      </c>
      <c r="L1674" s="33"/>
      <c r="M1674" s="1"/>
      <c r="N1674" s="38">
        <f t="shared" si="25"/>
        <v>0</v>
      </c>
    </row>
    <row r="1675" spans="1:14" x14ac:dyDescent="0.25">
      <c r="A1675" t="s">
        <v>79</v>
      </c>
      <c r="B1675" s="43" t="s">
        <v>167</v>
      </c>
      <c r="C1675" s="62">
        <f>VLOOKUP(B1675,合并仓明细!$D$2:$F$74,3,0)</f>
        <v>189</v>
      </c>
      <c r="D1675" t="s">
        <v>413</v>
      </c>
      <c r="E1675" s="43" t="s">
        <v>312</v>
      </c>
      <c r="F1675" t="s">
        <v>66</v>
      </c>
      <c r="G1675" s="42">
        <v>45.52</v>
      </c>
      <c r="H1675"/>
      <c r="I1675" s="46"/>
      <c r="K1675" s="1"/>
      <c r="L1675" s="33"/>
      <c r="M1675" s="1"/>
      <c r="N1675" s="38">
        <f t="shared" si="25"/>
        <v>0</v>
      </c>
    </row>
    <row r="1676" spans="1:14" x14ac:dyDescent="0.25">
      <c r="A1676" t="s">
        <v>79</v>
      </c>
      <c r="B1676" s="43" t="s">
        <v>167</v>
      </c>
      <c r="C1676" s="62">
        <f>VLOOKUP(B1676,合并仓明细!$D$2:$F$74,3,0)</f>
        <v>189</v>
      </c>
      <c r="D1676" t="s">
        <v>413</v>
      </c>
      <c r="E1676" s="43" t="s">
        <v>338</v>
      </c>
      <c r="F1676" t="s">
        <v>66</v>
      </c>
      <c r="G1676" s="42">
        <v>33.36</v>
      </c>
      <c r="H1676">
        <v>3.3360000000000001E-2</v>
      </c>
      <c r="K1676" s="1"/>
      <c r="L1676" s="37">
        <f>IF(H1676&gt;30,QUOTIENT(H1676,30)*VLOOKUP(D1676,'报价表-配送'!$B$40:$I$44,8,0),0)+IF(AND(MOD(H1676,30)&gt;18,MOD(H1676,30)&lt;=30),1,0)*VLOOKUP(D1676,'报价表-配送'!$B$40:$I$44,8,0)+IF(AND(MOD(H1676,30)&gt;8,MOD(H1676,30)&lt;=18),1*VLOOKUP(D1676,'报价表-配送'!$B$40:$I$44,7,0),0)+IF(AND(MOD(H1676,30)&lt;=8,MOD(H1676,30)&gt;2.5),1,0)*VLOOKUP(D1676,'报价表-配送'!$B$40:$I$44,6,0)+IF(AND(MOD(H1676,30)&lt;=2.5,MOD(H1676,30)&gt;=1.5),1,0)*VLOOKUP(D1676,'报价表-配送'!$B$40:$I$44,5,0)</f>
        <v>0</v>
      </c>
      <c r="M1676" s="39">
        <f>IF(AND(MOD(H1676,30)&lt;1.5,MOD(H1676,30)&gt;=0.5),H1676,0)*VLOOKUP(D1676,'报价表-配送'!$B$40:$I$44,4,0)*1000+IF(AND(MOD(H1676,30)&lt;0.5,MOD(H1676,30)&gt;=0.02),H1676,0)*VLOOKUP(D1676,'报价表-配送'!$B$40:$I$44,3,0)*1000+IF(AND(MOD(H1676,30)&lt;0.02),H1676,0)*VLOOKUP(D1676,'报价表-配送'!$B$40:$I$44,2,0)*1000</f>
        <v>0</v>
      </c>
      <c r="N1676" s="38">
        <f t="shared" si="25"/>
        <v>0</v>
      </c>
    </row>
    <row r="1677" spans="1:14" x14ac:dyDescent="0.25">
      <c r="A1677" t="s">
        <v>79</v>
      </c>
      <c r="B1677" s="43" t="s">
        <v>167</v>
      </c>
      <c r="C1677" s="62">
        <f>VLOOKUP(B1677,合并仓明细!$D$2:$F$74,3,0)</f>
        <v>189</v>
      </c>
      <c r="D1677" t="s">
        <v>413</v>
      </c>
      <c r="E1677" s="43" t="s">
        <v>284</v>
      </c>
      <c r="F1677" t="s">
        <v>66</v>
      </c>
      <c r="G1677" s="42">
        <v>2.62</v>
      </c>
      <c r="H1677">
        <v>2.6199999999999999E-3</v>
      </c>
      <c r="K1677" s="1"/>
      <c r="L1677" s="37">
        <f>IF(H1677&gt;30,QUOTIENT(H1677,30)*VLOOKUP(D1677,'报价表-配送'!$B$40:$I$44,8,0),0)+IF(AND(MOD(H1677,30)&gt;18,MOD(H1677,30)&lt;=30),1,0)*VLOOKUP(D1677,'报价表-配送'!$B$40:$I$44,8,0)+IF(AND(MOD(H1677,30)&gt;8,MOD(H1677,30)&lt;=18),1*VLOOKUP(D1677,'报价表-配送'!$B$40:$I$44,7,0),0)+IF(AND(MOD(H1677,30)&lt;=8,MOD(H1677,30)&gt;2.5),1,0)*VLOOKUP(D1677,'报价表-配送'!$B$40:$I$44,6,0)+IF(AND(MOD(H1677,30)&lt;=2.5,MOD(H1677,30)&gt;=1.5),1,0)*VLOOKUP(D1677,'报价表-配送'!$B$40:$I$44,5,0)</f>
        <v>0</v>
      </c>
      <c r="M1677" s="39">
        <f>IF(AND(MOD(H1677,30)&lt;1.5,MOD(H1677,30)&gt;=0.5),H1677,0)*VLOOKUP(D1677,'报价表-配送'!$B$40:$I$44,4,0)*1000+IF(AND(MOD(H1677,30)&lt;0.5,MOD(H1677,30)&gt;=0.02),H1677,0)*VLOOKUP(D1677,'报价表-配送'!$B$40:$I$44,3,0)*1000+IF(AND(MOD(H1677,30)&lt;0.02),H1677,0)*VLOOKUP(D1677,'报价表-配送'!$B$40:$I$44,2,0)*1000</f>
        <v>0</v>
      </c>
      <c r="N1677" s="38">
        <f t="shared" si="25"/>
        <v>0</v>
      </c>
    </row>
    <row r="1678" spans="1:14" x14ac:dyDescent="0.25">
      <c r="A1678" t="s">
        <v>79</v>
      </c>
      <c r="B1678" s="43" t="s">
        <v>167</v>
      </c>
      <c r="C1678" s="62">
        <f>VLOOKUP(B1678,合并仓明细!$D$2:$F$74,3,0)</f>
        <v>189</v>
      </c>
      <c r="D1678" t="s">
        <v>413</v>
      </c>
      <c r="E1678" s="43" t="s">
        <v>318</v>
      </c>
      <c r="F1678" t="s">
        <v>66</v>
      </c>
      <c r="G1678" s="111">
        <v>536.98</v>
      </c>
      <c r="H1678" s="103">
        <v>0.53698000000000001</v>
      </c>
      <c r="I1678" s="46"/>
      <c r="K1678" s="1"/>
      <c r="L1678" s="37">
        <f>IF(H1678&gt;30,QUOTIENT(H1678,30)*VLOOKUP(D1678,'报价表-配送'!$B$40:$I$44,8,0),0)+IF(AND(MOD(H1678,30)&gt;18,MOD(H1678,30)&lt;=30),1,0)*VLOOKUP(D1678,'报价表-配送'!$B$40:$I$44,8,0)+IF(AND(MOD(H1678,30)&gt;8,MOD(H1678,30)&lt;=18),1*VLOOKUP(D1678,'报价表-配送'!$B$40:$I$44,7,0),0)+IF(AND(MOD(H1678,30)&lt;=8,MOD(H1678,30)&gt;2.5),1,0)*VLOOKUP(D1678,'报价表-配送'!$B$40:$I$44,6,0)+IF(AND(MOD(H1678,30)&lt;=2.5,MOD(H1678,30)&gt;=1.5),1,0)*VLOOKUP(D1678,'报价表-配送'!$B$40:$I$44,5,0)</f>
        <v>0</v>
      </c>
      <c r="M1678" s="39">
        <f>IF(AND(MOD(H1678,30)&lt;1.5,MOD(H1678,30)&gt;=0.5),H1678,0)*VLOOKUP(D1678,'报价表-配送'!$B$40:$I$44,4,0)*1000+IF(AND(MOD(H1678,30)&lt;0.5,MOD(H1678,30)&gt;=0.02),H1678,0)*VLOOKUP(D1678,'报价表-配送'!$B$40:$I$44,3,0)*1000+IF(AND(MOD(H1678,30)&lt;0.02),H1678,0)*VLOOKUP(D1678,'报价表-配送'!$B$40:$I$44,2,0)*1000</f>
        <v>0</v>
      </c>
      <c r="N1678" s="38">
        <f t="shared" si="25"/>
        <v>0</v>
      </c>
    </row>
    <row r="1679" spans="1:14" x14ac:dyDescent="0.25">
      <c r="A1679" t="s">
        <v>79</v>
      </c>
      <c r="B1679" s="43" t="s">
        <v>167</v>
      </c>
      <c r="C1679" s="62">
        <f>VLOOKUP(B1679,合并仓明细!$D$2:$F$74,3,0)</f>
        <v>189</v>
      </c>
      <c r="D1679" t="s">
        <v>413</v>
      </c>
      <c r="E1679" s="43" t="s">
        <v>320</v>
      </c>
      <c r="F1679" t="s">
        <v>68</v>
      </c>
      <c r="G1679" s="42">
        <v>921.21</v>
      </c>
      <c r="H1679">
        <v>7.70059</v>
      </c>
      <c r="I1679" s="46">
        <f>ROUNDUP(H1679/30,0)*VLOOKUP(D1679,'报价表-配送'!$B$40:$I$44,8,0)</f>
        <v>0</v>
      </c>
      <c r="K1679" s="1"/>
      <c r="L1679" s="33"/>
      <c r="M1679" s="1"/>
      <c r="N1679" s="38">
        <f t="shared" si="25"/>
        <v>0</v>
      </c>
    </row>
    <row r="1680" spans="1:14" x14ac:dyDescent="0.25">
      <c r="A1680" t="s">
        <v>79</v>
      </c>
      <c r="B1680" s="43" t="s">
        <v>167</v>
      </c>
      <c r="C1680" s="62">
        <f>VLOOKUP(B1680,合并仓明细!$D$2:$F$74,3,0)</f>
        <v>189</v>
      </c>
      <c r="D1680" t="s">
        <v>413</v>
      </c>
      <c r="E1680" s="43" t="s">
        <v>320</v>
      </c>
      <c r="F1680" t="s">
        <v>67</v>
      </c>
      <c r="G1680" s="42">
        <v>5702.61</v>
      </c>
      <c r="H1680"/>
      <c r="K1680" s="1"/>
      <c r="L1680" s="33"/>
      <c r="M1680" s="1"/>
      <c r="N1680" s="38">
        <f t="shared" si="25"/>
        <v>0</v>
      </c>
    </row>
    <row r="1681" spans="1:14" x14ac:dyDescent="0.25">
      <c r="A1681" t="s">
        <v>79</v>
      </c>
      <c r="B1681" s="43" t="s">
        <v>167</v>
      </c>
      <c r="C1681" s="62">
        <f>VLOOKUP(B1681,合并仓明细!$D$2:$F$74,3,0)</f>
        <v>189</v>
      </c>
      <c r="D1681" t="s">
        <v>413</v>
      </c>
      <c r="E1681" s="43" t="s">
        <v>320</v>
      </c>
      <c r="F1681" t="s">
        <v>66</v>
      </c>
      <c r="G1681" s="42">
        <v>1076.77</v>
      </c>
      <c r="H1681"/>
      <c r="I1681" s="46"/>
      <c r="K1681" s="1"/>
      <c r="L1681" s="33"/>
      <c r="M1681" s="1"/>
      <c r="N1681" s="38">
        <f t="shared" si="25"/>
        <v>0</v>
      </c>
    </row>
    <row r="1682" spans="1:14" x14ac:dyDescent="0.25">
      <c r="A1682" t="s">
        <v>79</v>
      </c>
      <c r="B1682" s="43" t="s">
        <v>167</v>
      </c>
      <c r="C1682" s="62">
        <f>VLOOKUP(B1682,合并仓明细!$D$2:$F$74,3,0)</f>
        <v>189</v>
      </c>
      <c r="D1682" t="s">
        <v>413</v>
      </c>
      <c r="E1682" s="43" t="s">
        <v>301</v>
      </c>
      <c r="F1682" t="s">
        <v>66</v>
      </c>
      <c r="G1682" s="42">
        <v>229.9</v>
      </c>
      <c r="H1682">
        <v>0.22989999999999999</v>
      </c>
      <c r="K1682" s="1"/>
      <c r="L1682" s="37">
        <f>IF(H1682&gt;30,QUOTIENT(H1682,30)*VLOOKUP(D1682,'报价表-配送'!$B$40:$I$44,8,0),0)+IF(AND(MOD(H1682,30)&gt;18,MOD(H1682,30)&lt;=30),1,0)*VLOOKUP(D1682,'报价表-配送'!$B$40:$I$44,8,0)+IF(AND(MOD(H1682,30)&gt;8,MOD(H1682,30)&lt;=18),1*VLOOKUP(D1682,'报价表-配送'!$B$40:$I$44,7,0),0)+IF(AND(MOD(H1682,30)&lt;=8,MOD(H1682,30)&gt;2.5),1,0)*VLOOKUP(D1682,'报价表-配送'!$B$40:$I$44,6,0)+IF(AND(MOD(H1682,30)&lt;=2.5,MOD(H1682,30)&gt;=1.5),1,0)*VLOOKUP(D1682,'报价表-配送'!$B$40:$I$44,5,0)</f>
        <v>0</v>
      </c>
      <c r="M1682" s="39">
        <f>IF(AND(MOD(H1682,30)&lt;1.5,MOD(H1682,30)&gt;=0.5),H1682,0)*VLOOKUP(D1682,'报价表-配送'!$B$40:$I$44,4,0)*1000+IF(AND(MOD(H1682,30)&lt;0.5,MOD(H1682,30)&gt;=0.02),H1682,0)*VLOOKUP(D1682,'报价表-配送'!$B$40:$I$44,3,0)*1000+IF(AND(MOD(H1682,30)&lt;0.02),H1682,0)*VLOOKUP(D1682,'报价表-配送'!$B$40:$I$44,2,0)*1000</f>
        <v>0</v>
      </c>
      <c r="N1682" s="38">
        <f t="shared" si="25"/>
        <v>0</v>
      </c>
    </row>
    <row r="1683" spans="1:14" x14ac:dyDescent="0.25">
      <c r="A1683" t="s">
        <v>79</v>
      </c>
      <c r="B1683" s="43" t="s">
        <v>167</v>
      </c>
      <c r="C1683" s="62">
        <f>VLOOKUP(B1683,合并仓明细!$D$2:$F$74,3,0)</f>
        <v>189</v>
      </c>
      <c r="D1683" t="s">
        <v>413</v>
      </c>
      <c r="E1683" s="43" t="s">
        <v>330</v>
      </c>
      <c r="F1683" t="s">
        <v>67</v>
      </c>
      <c r="G1683" s="42">
        <v>25.11</v>
      </c>
      <c r="H1683">
        <v>2.511E-2</v>
      </c>
      <c r="I1683" s="38">
        <f>IF(H1683&gt;30,QUOTIENT(H1683,30)*VLOOKUP(D1683,'报价表-配送'!$B$40:$I$44,8,0),0)+IF(AND(MOD(H1683,30)&gt;18,MOD(H1683,30)&lt;=30),1,0)*VLOOKUP(D1683,'报价表-配送'!$B$40:$I$44,8,0)</f>
        <v>0</v>
      </c>
      <c r="J1683" s="38">
        <f>IF(AND(MOD(H1683,30)&gt;8,MOD(H1683,30)&lt;=18),1*VLOOKUP(D1683,'报价表-配送'!$B$40:$I$44,7,0),0)</f>
        <v>0</v>
      </c>
      <c r="K1683" s="38">
        <f>IF(AND(MOD(H1683,30)&lt;=8,MOD(H1683,30)&gt;0),1,0)*VLOOKUP(D1683,'报价表-配送'!$B$40:$I$44,6,0)</f>
        <v>0</v>
      </c>
      <c r="L1683" s="33"/>
      <c r="M1683" s="1"/>
      <c r="N1683" s="38">
        <f t="shared" si="25"/>
        <v>0</v>
      </c>
    </row>
    <row r="1684" spans="1:14" x14ac:dyDescent="0.25">
      <c r="A1684" t="s">
        <v>79</v>
      </c>
      <c r="B1684" s="43" t="s">
        <v>167</v>
      </c>
      <c r="C1684" s="62">
        <f>VLOOKUP(B1684,合并仓明细!$D$2:$F$74,3,0)</f>
        <v>189</v>
      </c>
      <c r="D1684" t="s">
        <v>413</v>
      </c>
      <c r="E1684" s="43" t="s">
        <v>332</v>
      </c>
      <c r="F1684" t="s">
        <v>67</v>
      </c>
      <c r="G1684" s="111">
        <v>7379.8</v>
      </c>
      <c r="H1684" s="103">
        <v>8.2863600000000002</v>
      </c>
      <c r="I1684" s="38">
        <f>IF(H1684&gt;30,QUOTIENT(H1684,30)*VLOOKUP(D1684,'报价表-配送'!$B$40:$I$44,8,0),0)+IF(AND(MOD(H1684,30)&gt;18,MOD(H1684,30)&lt;=30),1,0)*VLOOKUP(D1684,'报价表-配送'!$B$40:$I$44,8,0)</f>
        <v>0</v>
      </c>
      <c r="J1684" s="38">
        <f>IF(AND(MOD(H1684,30)&gt;8,MOD(H1684,30)&lt;=18),1*VLOOKUP(D1684,'报价表-配送'!$B$40:$I$44,7,0),0)</f>
        <v>0</v>
      </c>
      <c r="K1684" s="38">
        <f>IF(AND(MOD(H1684,30)&lt;=8,MOD(H1684,30)&gt;0),1,0)*VLOOKUP(D1684,'报价表-配送'!$B$40:$I$44,6,0)</f>
        <v>0</v>
      </c>
      <c r="L1684" s="33"/>
      <c r="M1684" s="1"/>
      <c r="N1684" s="38">
        <f t="shared" si="25"/>
        <v>0</v>
      </c>
    </row>
    <row r="1685" spans="1:14" x14ac:dyDescent="0.25">
      <c r="A1685" t="s">
        <v>79</v>
      </c>
      <c r="B1685" s="43" t="s">
        <v>167</v>
      </c>
      <c r="C1685" s="62">
        <f>VLOOKUP(B1685,合并仓明细!$D$2:$F$74,3,0)</f>
        <v>189</v>
      </c>
      <c r="D1685" t="s">
        <v>413</v>
      </c>
      <c r="E1685" s="43" t="s">
        <v>332</v>
      </c>
      <c r="F1685" t="s">
        <v>66</v>
      </c>
      <c r="G1685" s="42">
        <v>906.56000000000017</v>
      </c>
      <c r="H1685"/>
      <c r="K1685" s="1"/>
      <c r="L1685" s="33"/>
      <c r="M1685" s="1"/>
      <c r="N1685" s="38">
        <f t="shared" si="25"/>
        <v>0</v>
      </c>
    </row>
    <row r="1686" spans="1:14" x14ac:dyDescent="0.25">
      <c r="A1686" s="103" t="s">
        <v>79</v>
      </c>
      <c r="B1686" s="106" t="s">
        <v>168</v>
      </c>
      <c r="C1686" s="62">
        <f>VLOOKUP(B1686,合并仓明细!$D$2:$F$74,3,0)</f>
        <v>216</v>
      </c>
      <c r="D1686" s="103" t="s">
        <v>515</v>
      </c>
      <c r="E1686" s="106" t="s">
        <v>332</v>
      </c>
      <c r="F1686" s="103" t="s">
        <v>67</v>
      </c>
      <c r="G1686">
        <v>39000</v>
      </c>
      <c r="H1686">
        <v>39</v>
      </c>
      <c r="I1686" s="38">
        <f>IF(H1686&gt;30,QUOTIENT(H1686,30)*VLOOKUP(D1686,'报价表-配送'!$B$40:$I$44,8,0),0)+IF(AND(MOD(H1686,30)&gt;18,MOD(H1686,30)&lt;=30),1,0)*VLOOKUP(D1686,'报价表-配送'!$B$40:$I$44,8,0)</f>
        <v>0</v>
      </c>
      <c r="J1686" s="38">
        <f>IF(AND(MOD(H1686,30)&gt;8,MOD(H1686,30)&lt;=18),1*VLOOKUP(D1686,'报价表-配送'!$B$40:$I$44,7,0),0)</f>
        <v>0</v>
      </c>
      <c r="K1686" s="38">
        <f>IF(AND(MOD(H1686,30)&lt;=8,MOD(H1686,30)&gt;0),1,0)*VLOOKUP(D1686,'报价表-配送'!$B$40:$I$44,6,0)</f>
        <v>0</v>
      </c>
      <c r="L1686" s="33"/>
      <c r="M1686" s="1"/>
      <c r="N1686" s="38">
        <f t="shared" si="25"/>
        <v>0</v>
      </c>
    </row>
    <row r="1687" spans="1:14" x14ac:dyDescent="0.25">
      <c r="A1687" s="103" t="s">
        <v>79</v>
      </c>
      <c r="B1687" s="106" t="s">
        <v>168</v>
      </c>
      <c r="C1687" s="62">
        <f>VLOOKUP(B1687,合并仓明细!$D$2:$F$74,3,0)</f>
        <v>216</v>
      </c>
      <c r="D1687" s="103" t="s">
        <v>515</v>
      </c>
      <c r="E1687" s="106" t="s">
        <v>332</v>
      </c>
      <c r="F1687" s="103" t="s">
        <v>67</v>
      </c>
      <c r="G1687">
        <v>8000</v>
      </c>
      <c r="H1687">
        <v>8</v>
      </c>
      <c r="I1687" s="38">
        <f>IF(H1687&gt;30,QUOTIENT(H1687,30)*VLOOKUP(D1687,'报价表-配送'!$B$40:$I$44,8,0),0)+IF(AND(MOD(H1687,30)&gt;18,MOD(H1687,30)&lt;=30),1,0)*VLOOKUP(D1687,'报价表-配送'!$B$40:$I$44,8,0)</f>
        <v>0</v>
      </c>
      <c r="J1687" s="38">
        <f>IF(AND(MOD(H1687,30)&gt;8,MOD(H1687,30)&lt;=18),1*VLOOKUP(D1687,'报价表-配送'!$B$40:$I$44,7,0),0)</f>
        <v>0</v>
      </c>
      <c r="K1687" s="38">
        <f>IF(AND(MOD(H1687,30)&lt;=8,MOD(H1687,30)&gt;0),1,0)*VLOOKUP(D1687,'报价表-配送'!$B$40:$I$44,6,0)</f>
        <v>0</v>
      </c>
      <c r="L1687" s="33"/>
      <c r="M1687" s="1"/>
      <c r="N1687" s="38">
        <f t="shared" si="25"/>
        <v>0</v>
      </c>
    </row>
    <row r="1688" spans="1:14" x14ac:dyDescent="0.25">
      <c r="A1688" s="103" t="s">
        <v>79</v>
      </c>
      <c r="B1688" s="106" t="s">
        <v>168</v>
      </c>
      <c r="C1688" s="62">
        <f>VLOOKUP(B1688,合并仓明细!$D$2:$F$74,3,0)</f>
        <v>216</v>
      </c>
      <c r="D1688" s="103" t="s">
        <v>515</v>
      </c>
      <c r="E1688" s="106" t="s">
        <v>332</v>
      </c>
      <c r="F1688" s="105" t="s">
        <v>66</v>
      </c>
      <c r="G1688">
        <v>2500</v>
      </c>
      <c r="H1688">
        <v>2.5</v>
      </c>
      <c r="K1688" s="1"/>
      <c r="L1688" s="37">
        <f>IF(H1688&gt;30,QUOTIENT(H1688,30)*VLOOKUP(D1688,'报价表-配送'!$B$40:$I$44,8,0),0)+IF(AND(MOD(H1688,30)&gt;18,MOD(H1688,30)&lt;=30),1,0)*VLOOKUP(D1688,'报价表-配送'!$B$40:$I$44,8,0)+IF(AND(MOD(H1688,30)&gt;8,MOD(H1688,30)&lt;=18),1*VLOOKUP(D1688,'报价表-配送'!$B$40:$I$44,7,0),0)+IF(AND(MOD(H1688,30)&lt;=8,MOD(H1688,30)&gt;2.5),1,0)*VLOOKUP(D1688,'报价表-配送'!$B$40:$I$44,6,0)+IF(AND(MOD(H1688,30)&lt;=2.5,MOD(H1688,30)&gt;=1.5),1,0)*VLOOKUP(D1688,'报价表-配送'!$B$40:$I$44,5,0)</f>
        <v>0</v>
      </c>
      <c r="M1688" s="39">
        <f>IF(AND(MOD(H1688,30)&lt;1.5,MOD(H1688,30)&gt;=0.5),H1688,0)*VLOOKUP(D1688,'报价表-配送'!$B$40:$I$44,4,0)*1000+IF(AND(MOD(H1688,30)&lt;0.5,MOD(H1688,30)&gt;=0.02),H1688,0)*VLOOKUP(D1688,'报价表-配送'!$B$40:$I$44,3,0)*1000+IF(AND(MOD(H1688,30)&lt;0.02),H1688,0)*VLOOKUP(D1688,'报价表-配送'!$B$40:$I$44,2,0)*1000</f>
        <v>0</v>
      </c>
      <c r="N1688" s="38">
        <f t="shared" si="25"/>
        <v>0</v>
      </c>
    </row>
    <row r="1689" spans="1:14" x14ac:dyDescent="0.25">
      <c r="A1689" s="103" t="s">
        <v>79</v>
      </c>
      <c r="B1689" s="106" t="s">
        <v>168</v>
      </c>
      <c r="C1689" s="62">
        <f>VLOOKUP(B1689,合并仓明细!$D$2:$F$74,3,0)</f>
        <v>216</v>
      </c>
      <c r="D1689" s="103" t="s">
        <v>515</v>
      </c>
      <c r="E1689" s="106" t="s">
        <v>332</v>
      </c>
      <c r="F1689" s="105" t="s">
        <v>66</v>
      </c>
      <c r="G1689">
        <v>1000</v>
      </c>
      <c r="H1689">
        <v>1</v>
      </c>
      <c r="K1689" s="1"/>
      <c r="L1689" s="37">
        <f>IF(H1689&gt;30,QUOTIENT(H1689,30)*VLOOKUP(D1689,'报价表-配送'!$B$40:$I$44,8,0),0)+IF(AND(MOD(H1689,30)&gt;18,MOD(H1689,30)&lt;=30),1,0)*VLOOKUP(D1689,'报价表-配送'!$B$40:$I$44,8,0)+IF(AND(MOD(H1689,30)&gt;8,MOD(H1689,30)&lt;=18),1*VLOOKUP(D1689,'报价表-配送'!$B$40:$I$44,7,0),0)+IF(AND(MOD(H1689,30)&lt;=8,MOD(H1689,30)&gt;2.5),1,0)*VLOOKUP(D1689,'报价表-配送'!$B$40:$I$44,6,0)+IF(AND(MOD(H1689,30)&lt;=2.5,MOD(H1689,30)&gt;=1.5),1,0)*VLOOKUP(D1689,'报价表-配送'!$B$40:$I$44,5,0)</f>
        <v>0</v>
      </c>
      <c r="M1689" s="39">
        <f>IF(AND(MOD(H1689,30)&lt;1.5,MOD(H1689,30)&gt;=0.5),H1689,0)*VLOOKUP(D1689,'报价表-配送'!$B$40:$I$44,4,0)*1000+IF(AND(MOD(H1689,30)&lt;0.5,MOD(H1689,30)&gt;=0.02),H1689,0)*VLOOKUP(D1689,'报价表-配送'!$B$40:$I$44,3,0)*1000+IF(AND(MOD(H1689,30)&lt;0.02),H1689,0)*VLOOKUP(D1689,'报价表-配送'!$B$40:$I$44,2,0)*1000</f>
        <v>0</v>
      </c>
      <c r="N1689" s="38">
        <f t="shared" si="25"/>
        <v>0</v>
      </c>
    </row>
    <row r="1690" spans="1:14" x14ac:dyDescent="0.25">
      <c r="A1690" s="103" t="s">
        <v>79</v>
      </c>
      <c r="B1690" s="106" t="s">
        <v>168</v>
      </c>
      <c r="C1690" s="62">
        <f>VLOOKUP(B1690,合并仓明细!$D$2:$F$74,3,0)</f>
        <v>216</v>
      </c>
      <c r="D1690" s="103" t="s">
        <v>515</v>
      </c>
      <c r="E1690" s="106" t="s">
        <v>332</v>
      </c>
      <c r="F1690" s="105" t="s">
        <v>66</v>
      </c>
      <c r="G1690">
        <v>400</v>
      </c>
      <c r="H1690">
        <v>0.4</v>
      </c>
      <c r="K1690" s="1"/>
      <c r="L1690" s="37">
        <f>IF(H1690&gt;30,QUOTIENT(H1690,30)*VLOOKUP(D1690,'报价表-配送'!$B$40:$I$44,8,0),0)+IF(AND(MOD(H1690,30)&gt;18,MOD(H1690,30)&lt;=30),1,0)*VLOOKUP(D1690,'报价表-配送'!$B$40:$I$44,8,0)+IF(AND(MOD(H1690,30)&gt;8,MOD(H1690,30)&lt;=18),1*VLOOKUP(D1690,'报价表-配送'!$B$40:$I$44,7,0),0)+IF(AND(MOD(H1690,30)&lt;=8,MOD(H1690,30)&gt;2.5),1,0)*VLOOKUP(D1690,'报价表-配送'!$B$40:$I$44,6,0)+IF(AND(MOD(H1690,30)&lt;=2.5,MOD(H1690,30)&gt;=1.5),1,0)*VLOOKUP(D1690,'报价表-配送'!$B$40:$I$44,5,0)</f>
        <v>0</v>
      </c>
      <c r="M1690" s="39">
        <f>IF(AND(MOD(H1690,30)&lt;1.5,MOD(H1690,30)&gt;=0.5),H1690,0)*VLOOKUP(D1690,'报价表-配送'!$B$40:$I$44,4,0)*1000+IF(AND(MOD(H1690,30)&lt;0.5,MOD(H1690,30)&gt;=0.02),H1690,0)*VLOOKUP(D1690,'报价表-配送'!$B$40:$I$44,3,0)*1000+IF(AND(MOD(H1690,30)&lt;0.02),H1690,0)*VLOOKUP(D1690,'报价表-配送'!$B$40:$I$44,2,0)*1000</f>
        <v>0</v>
      </c>
      <c r="N1690" s="38">
        <f t="shared" si="25"/>
        <v>0</v>
      </c>
    </row>
    <row r="1691" spans="1:14" x14ac:dyDescent="0.25">
      <c r="A1691" s="103" t="s">
        <v>79</v>
      </c>
      <c r="B1691" s="106" t="s">
        <v>168</v>
      </c>
      <c r="C1691" s="62">
        <f>VLOOKUP(B1691,合并仓明细!$D$2:$F$74,3,0)</f>
        <v>216</v>
      </c>
      <c r="D1691" s="103" t="s">
        <v>515</v>
      </c>
      <c r="E1691" s="106" t="s">
        <v>332</v>
      </c>
      <c r="F1691" s="105" t="s">
        <v>66</v>
      </c>
      <c r="G1691">
        <v>2</v>
      </c>
      <c r="H1691">
        <v>2E-3</v>
      </c>
      <c r="K1691" s="1"/>
      <c r="L1691" s="37">
        <f>IF(H1691&gt;30,QUOTIENT(H1691,30)*VLOOKUP(D1691,'报价表-配送'!$B$40:$I$44,8,0),0)+IF(AND(MOD(H1691,30)&gt;18,MOD(H1691,30)&lt;=30),1,0)*VLOOKUP(D1691,'报价表-配送'!$B$40:$I$44,8,0)+IF(AND(MOD(H1691,30)&gt;8,MOD(H1691,30)&lt;=18),1*VLOOKUP(D1691,'报价表-配送'!$B$40:$I$44,7,0),0)+IF(AND(MOD(H1691,30)&lt;=8,MOD(H1691,30)&gt;2.5),1,0)*VLOOKUP(D1691,'报价表-配送'!$B$40:$I$44,6,0)+IF(AND(MOD(H1691,30)&lt;=2.5,MOD(H1691,30)&gt;=1.5),1,0)*VLOOKUP(D1691,'报价表-配送'!$B$40:$I$44,5,0)</f>
        <v>0</v>
      </c>
      <c r="M1691" s="39">
        <f>IF(AND(MOD(H1691,30)&lt;1.5,MOD(H1691,30)&gt;=0.5),H1691,0)*VLOOKUP(D1691,'报价表-配送'!$B$40:$I$44,4,0)*1000+IF(AND(MOD(H1691,30)&lt;0.5,MOD(H1691,30)&gt;=0.02),H1691,0)*VLOOKUP(D1691,'报价表-配送'!$B$40:$I$44,3,0)*1000+IF(AND(MOD(H1691,30)&lt;0.02),H1691,0)*VLOOKUP(D1691,'报价表-配送'!$B$40:$I$44,2,0)*1000</f>
        <v>0</v>
      </c>
      <c r="N1691" s="38">
        <f t="shared" si="25"/>
        <v>0</v>
      </c>
    </row>
    <row r="1692" spans="1:14" x14ac:dyDescent="0.25">
      <c r="A1692" t="s">
        <v>79</v>
      </c>
      <c r="B1692" s="43" t="s">
        <v>168</v>
      </c>
      <c r="C1692" s="62">
        <f>VLOOKUP(B1692,合并仓明细!$D$2:$F$74,3,0)</f>
        <v>216</v>
      </c>
      <c r="D1692" s="44" t="s">
        <v>414</v>
      </c>
      <c r="E1692" s="43" t="s">
        <v>263</v>
      </c>
      <c r="F1692" t="s">
        <v>66</v>
      </c>
      <c r="G1692" s="42">
        <v>143.07</v>
      </c>
      <c r="H1692">
        <v>0.14307</v>
      </c>
      <c r="K1692" s="1"/>
      <c r="L1692" s="37">
        <f>IF(H1692&gt;30,QUOTIENT(H1692,30)*VLOOKUP(D1692,'报价表-配送'!$B$40:$I$44,8,0),0)+IF(AND(MOD(H1692,30)&gt;18,MOD(H1692,30)&lt;=30),1,0)*VLOOKUP(D1692,'报价表-配送'!$B$40:$I$44,8,0)+IF(AND(MOD(H1692,30)&gt;8,MOD(H1692,30)&lt;=18),1*VLOOKUP(D1692,'报价表-配送'!$B$40:$I$44,7,0),0)+IF(AND(MOD(H1692,30)&lt;=8,MOD(H1692,30)&gt;2.5),1,0)*VLOOKUP(D1692,'报价表-配送'!$B$40:$I$44,6,0)+IF(AND(MOD(H1692,30)&lt;=2.5,MOD(H1692,30)&gt;=1.5),1,0)*VLOOKUP(D1692,'报价表-配送'!$B$40:$I$44,5,0)</f>
        <v>0</v>
      </c>
      <c r="M1692" s="39">
        <f>IF(AND(MOD(H1692,30)&lt;1.5,MOD(H1692,30)&gt;=0.5),H1692,0)*VLOOKUP(D1692,'报价表-配送'!$B$40:$I$44,4,0)*1000+IF(AND(MOD(H1692,30)&lt;0.5,MOD(H1692,30)&gt;=0.02),H1692,0)*VLOOKUP(D1692,'报价表-配送'!$B$40:$I$44,3,0)*1000+IF(AND(MOD(H1692,30)&lt;0.02),H1692,0)*VLOOKUP(D1692,'报价表-配送'!$B$40:$I$44,2,0)*1000</f>
        <v>0</v>
      </c>
      <c r="N1692" s="38">
        <f t="shared" si="25"/>
        <v>0</v>
      </c>
    </row>
    <row r="1693" spans="1:14" x14ac:dyDescent="0.25">
      <c r="A1693" t="s">
        <v>79</v>
      </c>
      <c r="B1693" s="43" t="s">
        <v>168</v>
      </c>
      <c r="C1693" s="62">
        <f>VLOOKUP(B1693,合并仓明细!$D$2:$F$74,3,0)</f>
        <v>216</v>
      </c>
      <c r="D1693" s="44" t="s">
        <v>414</v>
      </c>
      <c r="E1693" s="43" t="s">
        <v>307</v>
      </c>
      <c r="F1693" t="s">
        <v>66</v>
      </c>
      <c r="G1693" s="42">
        <v>128.43</v>
      </c>
      <c r="H1693">
        <v>0.12843000000000002</v>
      </c>
      <c r="I1693" s="38"/>
      <c r="J1693" s="38"/>
      <c r="K1693" s="38"/>
      <c r="L1693" s="37">
        <f>IF(H1693&gt;30,QUOTIENT(H1693,30)*VLOOKUP(D1693,'报价表-配送'!$B$40:$I$44,8,0),0)+IF(AND(MOD(H1693,30)&gt;18,MOD(H1693,30)&lt;=30),1,0)*VLOOKUP(D1693,'报价表-配送'!$B$40:$I$44,8,0)+IF(AND(MOD(H1693,30)&gt;8,MOD(H1693,30)&lt;=18),1*VLOOKUP(D1693,'报价表-配送'!$B$40:$I$44,7,0),0)+IF(AND(MOD(H1693,30)&lt;=8,MOD(H1693,30)&gt;2.5),1,0)*VLOOKUP(D1693,'报价表-配送'!$B$40:$I$44,6,0)+IF(AND(MOD(H1693,30)&lt;=2.5,MOD(H1693,30)&gt;=1.5),1,0)*VLOOKUP(D1693,'报价表-配送'!$B$40:$I$44,5,0)</f>
        <v>0</v>
      </c>
      <c r="M1693" s="39">
        <f>IF(AND(MOD(H1693,30)&lt;1.5,MOD(H1693,30)&gt;=0.5),H1693,0)*VLOOKUP(D1693,'报价表-配送'!$B$40:$I$44,4,0)*1000+IF(AND(MOD(H1693,30)&lt;0.5,MOD(H1693,30)&gt;=0.02),H1693,0)*VLOOKUP(D1693,'报价表-配送'!$B$40:$I$44,3,0)*1000+IF(AND(MOD(H1693,30)&lt;0.02),H1693,0)*VLOOKUP(D1693,'报价表-配送'!$B$40:$I$44,2,0)*1000</f>
        <v>0</v>
      </c>
      <c r="N1693" s="38">
        <f t="shared" si="25"/>
        <v>0</v>
      </c>
    </row>
    <row r="1694" spans="1:14" x14ac:dyDescent="0.25">
      <c r="A1694" t="s">
        <v>79</v>
      </c>
      <c r="B1694" s="43" t="s">
        <v>168</v>
      </c>
      <c r="C1694" s="62">
        <f>VLOOKUP(B1694,合并仓明细!$D$2:$F$74,3,0)</f>
        <v>216</v>
      </c>
      <c r="D1694" s="44" t="s">
        <v>414</v>
      </c>
      <c r="E1694" s="43" t="s">
        <v>308</v>
      </c>
      <c r="F1694" t="s">
        <v>66</v>
      </c>
      <c r="G1694" s="42">
        <v>2756.11</v>
      </c>
      <c r="H1694">
        <v>2.7561100000000001</v>
      </c>
      <c r="K1694" s="1"/>
      <c r="L1694" s="37">
        <f>IF(H1694&gt;30,QUOTIENT(H1694,30)*VLOOKUP(D1694,'报价表-配送'!$B$40:$I$44,8,0),0)+IF(AND(MOD(H1694,30)&gt;18,MOD(H1694,30)&lt;=30),1,0)*VLOOKUP(D1694,'报价表-配送'!$B$40:$I$44,8,0)+IF(AND(MOD(H1694,30)&gt;8,MOD(H1694,30)&lt;=18),1*VLOOKUP(D1694,'报价表-配送'!$B$40:$I$44,7,0),0)+IF(AND(MOD(H1694,30)&lt;=8,MOD(H1694,30)&gt;2.5),1,0)*VLOOKUP(D1694,'报价表-配送'!$B$40:$I$44,6,0)+IF(AND(MOD(H1694,30)&lt;=2.5,MOD(H1694,30)&gt;=1.5),1,0)*VLOOKUP(D1694,'报价表-配送'!$B$40:$I$44,5,0)</f>
        <v>0</v>
      </c>
      <c r="M1694" s="39">
        <f>IF(AND(MOD(H1694,30)&lt;1.5,MOD(H1694,30)&gt;=0.5),H1694,0)*VLOOKUP(D1694,'报价表-配送'!$B$40:$I$44,4,0)*1000+IF(AND(MOD(H1694,30)&lt;0.5,MOD(H1694,30)&gt;=0.02),H1694,0)*VLOOKUP(D1694,'报价表-配送'!$B$40:$I$44,3,0)*1000+IF(AND(MOD(H1694,30)&lt;0.02),H1694,0)*VLOOKUP(D1694,'报价表-配送'!$B$40:$I$44,2,0)*1000</f>
        <v>0</v>
      </c>
      <c r="N1694" s="38">
        <f t="shared" si="25"/>
        <v>0</v>
      </c>
    </row>
    <row r="1695" spans="1:14" x14ac:dyDescent="0.25">
      <c r="A1695" t="s">
        <v>79</v>
      </c>
      <c r="B1695" s="43" t="s">
        <v>168</v>
      </c>
      <c r="C1695" s="62">
        <f>VLOOKUP(B1695,合并仓明细!$D$2:$F$74,3,0)</f>
        <v>216</v>
      </c>
      <c r="D1695" s="44" t="s">
        <v>414</v>
      </c>
      <c r="E1695" s="43" t="s">
        <v>265</v>
      </c>
      <c r="F1695" t="s">
        <v>66</v>
      </c>
      <c r="G1695" s="42">
        <v>56.839999999999989</v>
      </c>
      <c r="H1695">
        <v>5.6839999999999988E-2</v>
      </c>
      <c r="I1695" s="46"/>
      <c r="K1695" s="1"/>
      <c r="L1695" s="37">
        <f>IF(H1695&gt;30,QUOTIENT(H1695,30)*VLOOKUP(D1695,'报价表-配送'!$B$40:$I$44,8,0),0)+IF(AND(MOD(H1695,30)&gt;18,MOD(H1695,30)&lt;=30),1,0)*VLOOKUP(D1695,'报价表-配送'!$B$40:$I$44,8,0)+IF(AND(MOD(H1695,30)&gt;8,MOD(H1695,30)&lt;=18),1*VLOOKUP(D1695,'报价表-配送'!$B$40:$I$44,7,0),0)+IF(AND(MOD(H1695,30)&lt;=8,MOD(H1695,30)&gt;2.5),1,0)*VLOOKUP(D1695,'报价表-配送'!$B$40:$I$44,6,0)+IF(AND(MOD(H1695,30)&lt;=2.5,MOD(H1695,30)&gt;=1.5),1,0)*VLOOKUP(D1695,'报价表-配送'!$B$40:$I$44,5,0)</f>
        <v>0</v>
      </c>
      <c r="M1695" s="39">
        <f>IF(AND(MOD(H1695,30)&lt;1.5,MOD(H1695,30)&gt;=0.5),H1695,0)*VLOOKUP(D1695,'报价表-配送'!$B$40:$I$44,4,0)*1000+IF(AND(MOD(H1695,30)&lt;0.5,MOD(H1695,30)&gt;=0.02),H1695,0)*VLOOKUP(D1695,'报价表-配送'!$B$40:$I$44,3,0)*1000+IF(AND(MOD(H1695,30)&lt;0.02),H1695,0)*VLOOKUP(D1695,'报价表-配送'!$B$40:$I$44,2,0)*1000</f>
        <v>0</v>
      </c>
      <c r="N1695" s="38">
        <f t="shared" si="25"/>
        <v>0</v>
      </c>
    </row>
    <row r="1696" spans="1:14" x14ac:dyDescent="0.25">
      <c r="A1696" t="s">
        <v>79</v>
      </c>
      <c r="B1696" s="43" t="s">
        <v>168</v>
      </c>
      <c r="C1696" s="62">
        <f>VLOOKUP(B1696,合并仓明细!$D$2:$F$74,3,0)</f>
        <v>216</v>
      </c>
      <c r="D1696" s="44" t="s">
        <v>414</v>
      </c>
      <c r="E1696" s="43" t="s">
        <v>333</v>
      </c>
      <c r="F1696" t="s">
        <v>66</v>
      </c>
      <c r="G1696" s="42">
        <v>11.999999999999998</v>
      </c>
      <c r="H1696">
        <v>1.1999999999999999E-2</v>
      </c>
      <c r="K1696" s="1"/>
      <c r="L1696" s="37">
        <f>IF(H1696&gt;30,QUOTIENT(H1696,30)*VLOOKUP(D1696,'报价表-配送'!$B$40:$I$44,8,0),0)+IF(AND(MOD(H1696,30)&gt;18,MOD(H1696,30)&lt;=30),1,0)*VLOOKUP(D1696,'报价表-配送'!$B$40:$I$44,8,0)+IF(AND(MOD(H1696,30)&gt;8,MOD(H1696,30)&lt;=18),1*VLOOKUP(D1696,'报价表-配送'!$B$40:$I$44,7,0),0)+IF(AND(MOD(H1696,30)&lt;=8,MOD(H1696,30)&gt;2.5),1,0)*VLOOKUP(D1696,'报价表-配送'!$B$40:$I$44,6,0)+IF(AND(MOD(H1696,30)&lt;=2.5,MOD(H1696,30)&gt;=1.5),1,0)*VLOOKUP(D1696,'报价表-配送'!$B$40:$I$44,5,0)</f>
        <v>0</v>
      </c>
      <c r="M1696" s="39">
        <f>IF(AND(MOD(H1696,30)&lt;1.5,MOD(H1696,30)&gt;=0.5),H1696,0)*VLOOKUP(D1696,'报价表-配送'!$B$40:$I$44,4,0)*1000+IF(AND(MOD(H1696,30)&lt;0.5,MOD(H1696,30)&gt;=0.02),H1696,0)*VLOOKUP(D1696,'报价表-配送'!$B$40:$I$44,3,0)*1000+IF(AND(MOD(H1696,30)&lt;0.02),H1696,0)*VLOOKUP(D1696,'报价表-配送'!$B$40:$I$44,2,0)*1000</f>
        <v>0</v>
      </c>
      <c r="N1696" s="38">
        <f t="shared" si="25"/>
        <v>0</v>
      </c>
    </row>
    <row r="1697" spans="1:15" x14ac:dyDescent="0.25">
      <c r="A1697" t="s">
        <v>79</v>
      </c>
      <c r="B1697" s="43" t="s">
        <v>168</v>
      </c>
      <c r="C1697" s="62">
        <f>VLOOKUP(B1697,合并仓明细!$D$2:$F$74,3,0)</f>
        <v>216</v>
      </c>
      <c r="D1697" s="44" t="s">
        <v>414</v>
      </c>
      <c r="E1697" s="43" t="s">
        <v>369</v>
      </c>
      <c r="F1697" t="s">
        <v>67</v>
      </c>
      <c r="G1697" s="42">
        <v>0</v>
      </c>
      <c r="H1697">
        <v>3.7699999999999999E-3</v>
      </c>
      <c r="I1697" s="38">
        <f>IF(H1697&gt;30,QUOTIENT(H1697,30)*VLOOKUP(D1697,'报价表-配送'!$B$40:$I$44,8,0),0)+IF(AND(MOD(H1697,30)&gt;18,MOD(H1697,30)&lt;=30),1,0)*VLOOKUP(D1697,'报价表-配送'!$B$40:$I$44,8,0)</f>
        <v>0</v>
      </c>
      <c r="J1697" s="38">
        <f>IF(AND(MOD(H1697,30)&gt;8,MOD(H1697,30)&lt;=18),1*VLOOKUP(D1697,'报价表-配送'!$B$40:$I$44,7,0),0)</f>
        <v>0</v>
      </c>
      <c r="K1697" s="38">
        <f>IF(AND(MOD(H1697,30)&lt;=8,MOD(H1697,30)&gt;0),1,0)*VLOOKUP(D1697,'报价表-配送'!$B$40:$I$44,6,0)</f>
        <v>0</v>
      </c>
      <c r="L1697" s="33"/>
      <c r="M1697" s="1"/>
      <c r="N1697" s="38">
        <f t="shared" si="25"/>
        <v>0</v>
      </c>
    </row>
    <row r="1698" spans="1:15" x14ac:dyDescent="0.25">
      <c r="A1698" t="s">
        <v>79</v>
      </c>
      <c r="B1698" s="43" t="s">
        <v>168</v>
      </c>
      <c r="C1698" s="62">
        <f>VLOOKUP(B1698,合并仓明细!$D$2:$F$74,3,0)</f>
        <v>216</v>
      </c>
      <c r="D1698" s="44" t="s">
        <v>414</v>
      </c>
      <c r="E1698" s="43" t="s">
        <v>369</v>
      </c>
      <c r="F1698" t="s">
        <v>66</v>
      </c>
      <c r="G1698" s="42">
        <v>3.77</v>
      </c>
      <c r="H1698"/>
      <c r="I1698" s="46"/>
      <c r="K1698" s="1"/>
      <c r="L1698" s="33"/>
      <c r="M1698" s="1"/>
      <c r="N1698" s="38">
        <f t="shared" si="25"/>
        <v>0</v>
      </c>
    </row>
    <row r="1699" spans="1:15" x14ac:dyDescent="0.25">
      <c r="A1699" t="s">
        <v>79</v>
      </c>
      <c r="B1699" s="43" t="s">
        <v>168</v>
      </c>
      <c r="C1699" s="62">
        <f>VLOOKUP(B1699,合并仓明细!$D$2:$F$74,3,0)</f>
        <v>216</v>
      </c>
      <c r="D1699" s="44" t="s">
        <v>414</v>
      </c>
      <c r="E1699" s="43" t="s">
        <v>266</v>
      </c>
      <c r="F1699" t="s">
        <v>67</v>
      </c>
      <c r="G1699" s="111">
        <v>8768.2000000000007</v>
      </c>
      <c r="H1699" s="103">
        <v>8.7682000000000002</v>
      </c>
      <c r="I1699" s="38">
        <f>IF(H1699&gt;30,QUOTIENT(H1699,30)*VLOOKUP(D1699,'报价表-配送'!$B$40:$I$44,8,0),0)+IF(AND(MOD(H1699,30)&gt;18,MOD(H1699,30)&lt;=30),1,0)*VLOOKUP(D1699,'报价表-配送'!$B$40:$I$44,8,0)</f>
        <v>0</v>
      </c>
      <c r="J1699" s="38">
        <f>IF(AND(MOD(H1699,30)&gt;8,MOD(H1699,30)&lt;=18),1*VLOOKUP(D1699,'报价表-配送'!$B$40:$I$44,7,0),0)</f>
        <v>0</v>
      </c>
      <c r="K1699" s="38">
        <f>IF(AND(MOD(H1699,30)&lt;=8,MOD(H1699,30)&gt;0),1,0)*VLOOKUP(D1699,'报价表-配送'!$B$40:$I$44,6,0)</f>
        <v>0</v>
      </c>
      <c r="L1699" s="33"/>
      <c r="M1699" s="1"/>
      <c r="N1699" s="38">
        <f t="shared" si="25"/>
        <v>0</v>
      </c>
    </row>
    <row r="1700" spans="1:15" x14ac:dyDescent="0.25">
      <c r="A1700" t="s">
        <v>79</v>
      </c>
      <c r="B1700" s="43" t="s">
        <v>168</v>
      </c>
      <c r="C1700" s="62">
        <f>VLOOKUP(B1700,合并仓明细!$D$2:$F$74,3,0)</f>
        <v>216</v>
      </c>
      <c r="D1700" s="44" t="s">
        <v>414</v>
      </c>
      <c r="E1700" s="43" t="s">
        <v>309</v>
      </c>
      <c r="F1700" t="s">
        <v>66</v>
      </c>
      <c r="G1700" s="42">
        <v>1088.71</v>
      </c>
      <c r="H1700">
        <v>1.0887100000000001</v>
      </c>
      <c r="I1700" s="46"/>
      <c r="K1700" s="1"/>
      <c r="L1700" s="37">
        <f>IF(H1700&gt;30,QUOTIENT(H1700,30)*VLOOKUP(D1700,'报价表-配送'!$B$40:$I$44,8,0),0)+IF(AND(MOD(H1700,30)&gt;18,MOD(H1700,30)&lt;=30),1,0)*VLOOKUP(D1700,'报价表-配送'!$B$40:$I$44,8,0)+IF(AND(MOD(H1700,30)&gt;8,MOD(H1700,30)&lt;=18),1*VLOOKUP(D1700,'报价表-配送'!$B$40:$I$44,7,0),0)+IF(AND(MOD(H1700,30)&lt;=8,MOD(H1700,30)&gt;2.5),1,0)*VLOOKUP(D1700,'报价表-配送'!$B$40:$I$44,6,0)+IF(AND(MOD(H1700,30)&lt;=2.5,MOD(H1700,30)&gt;=1.5),1,0)*VLOOKUP(D1700,'报价表-配送'!$B$40:$I$44,5,0)</f>
        <v>0</v>
      </c>
      <c r="M1700" s="39">
        <f>IF(AND(MOD(H1700,30)&lt;1.5,MOD(H1700,30)&gt;=0.5),H1700,0)*VLOOKUP(D1700,'报价表-配送'!$B$40:$I$44,4,0)*1000+IF(AND(MOD(H1700,30)&lt;0.5,MOD(H1700,30)&gt;=0.02),H1700,0)*VLOOKUP(D1700,'报价表-配送'!$B$40:$I$44,3,0)*1000+IF(AND(MOD(H1700,30)&lt;0.02),H1700,0)*VLOOKUP(D1700,'报价表-配送'!$B$40:$I$44,2,0)*1000</f>
        <v>0</v>
      </c>
      <c r="N1700" s="38">
        <f t="shared" si="25"/>
        <v>0</v>
      </c>
    </row>
    <row r="1701" spans="1:15" x14ac:dyDescent="0.25">
      <c r="A1701" t="s">
        <v>79</v>
      </c>
      <c r="B1701" s="43" t="s">
        <v>168</v>
      </c>
      <c r="C1701" s="62">
        <f>VLOOKUP(B1701,合并仓明细!$D$2:$F$74,3,0)</f>
        <v>216</v>
      </c>
      <c r="D1701" s="44" t="s">
        <v>414</v>
      </c>
      <c r="E1701" s="43" t="s">
        <v>258</v>
      </c>
      <c r="F1701" t="s">
        <v>67</v>
      </c>
      <c r="G1701" s="42">
        <v>14.34</v>
      </c>
      <c r="H1701">
        <v>4.6199999999999998E-2</v>
      </c>
      <c r="I1701" s="38">
        <f>IF(H1701&gt;30,QUOTIENT(H1701,30)*VLOOKUP(D1701,'报价表-配送'!$B$40:$I$44,8,0),0)+IF(AND(MOD(H1701,30)&gt;18,MOD(H1701,30)&lt;=30),1,0)*VLOOKUP(D1701,'报价表-配送'!$B$40:$I$44,8,0)</f>
        <v>0</v>
      </c>
      <c r="J1701" s="38">
        <f>IF(AND(MOD(H1701,30)&gt;8,MOD(H1701,30)&lt;=18),1*VLOOKUP(D1701,'报价表-配送'!$B$40:$I$44,7,0),0)</f>
        <v>0</v>
      </c>
      <c r="K1701" s="38">
        <f>IF(AND(MOD(H1701,30)&lt;=8,MOD(H1701,30)&gt;0),1,0)*VLOOKUP(D1701,'报价表-配送'!$B$40:$I$44,6,0)</f>
        <v>0</v>
      </c>
      <c r="L1701" s="33"/>
      <c r="M1701" s="1"/>
      <c r="N1701" s="38">
        <f t="shared" si="25"/>
        <v>0</v>
      </c>
    </row>
    <row r="1702" spans="1:15" x14ac:dyDescent="0.25">
      <c r="A1702" t="s">
        <v>79</v>
      </c>
      <c r="B1702" s="43" t="s">
        <v>168</v>
      </c>
      <c r="C1702" s="62">
        <f>VLOOKUP(B1702,合并仓明细!$D$2:$F$74,3,0)</f>
        <v>216</v>
      </c>
      <c r="D1702" s="44" t="s">
        <v>414</v>
      </c>
      <c r="E1702" s="43" t="s">
        <v>258</v>
      </c>
      <c r="F1702" t="s">
        <v>66</v>
      </c>
      <c r="G1702" s="42">
        <v>31.859999999999996</v>
      </c>
      <c r="H1702"/>
      <c r="K1702" s="1"/>
      <c r="L1702" s="33"/>
      <c r="M1702" s="1"/>
      <c r="N1702" s="38">
        <f t="shared" ref="N1702:N1765" si="26">SUM(I1702:M1702)</f>
        <v>0</v>
      </c>
    </row>
    <row r="1703" spans="1:15" x14ac:dyDescent="0.25">
      <c r="A1703" t="s">
        <v>79</v>
      </c>
      <c r="B1703" s="43" t="s">
        <v>168</v>
      </c>
      <c r="C1703" s="62">
        <f>VLOOKUP(B1703,合并仓明细!$D$2:$F$74,3,0)</f>
        <v>216</v>
      </c>
      <c r="D1703" s="44" t="s">
        <v>414</v>
      </c>
      <c r="E1703" s="43" t="s">
        <v>268</v>
      </c>
      <c r="F1703" t="s">
        <v>66</v>
      </c>
      <c r="G1703" s="42">
        <v>24</v>
      </c>
      <c r="H1703">
        <v>2.4E-2</v>
      </c>
      <c r="I1703" s="46"/>
      <c r="K1703" s="1"/>
      <c r="L1703" s="37">
        <f>IF(H1703&gt;30,QUOTIENT(H1703,30)*VLOOKUP(D1703,'报价表-配送'!$B$40:$I$44,8,0),0)+IF(AND(MOD(H1703,30)&gt;18,MOD(H1703,30)&lt;=30),1,0)*VLOOKUP(D1703,'报价表-配送'!$B$40:$I$44,8,0)+IF(AND(MOD(H1703,30)&gt;8,MOD(H1703,30)&lt;=18),1*VLOOKUP(D1703,'报价表-配送'!$B$40:$I$44,7,0),0)+IF(AND(MOD(H1703,30)&lt;=8,MOD(H1703,30)&gt;2.5),1,0)*VLOOKUP(D1703,'报价表-配送'!$B$40:$I$44,6,0)+IF(AND(MOD(H1703,30)&lt;=2.5,MOD(H1703,30)&gt;=1.5),1,0)*VLOOKUP(D1703,'报价表-配送'!$B$40:$I$44,5,0)</f>
        <v>0</v>
      </c>
      <c r="M1703" s="39">
        <f>IF(AND(MOD(H1703,30)&lt;1.5,MOD(H1703,30)&gt;=0.5),H1703,0)*VLOOKUP(D1703,'报价表-配送'!$B$40:$I$44,4,0)*1000+IF(AND(MOD(H1703,30)&lt;0.5,MOD(H1703,30)&gt;=0.02),H1703,0)*VLOOKUP(D1703,'报价表-配送'!$B$40:$I$44,3,0)*1000+IF(AND(MOD(H1703,30)&lt;0.02),H1703,0)*VLOOKUP(D1703,'报价表-配送'!$B$40:$I$44,2,0)*1000</f>
        <v>0</v>
      </c>
      <c r="N1703" s="38">
        <f t="shared" si="26"/>
        <v>0</v>
      </c>
    </row>
    <row r="1704" spans="1:15" x14ac:dyDescent="0.25">
      <c r="A1704" t="s">
        <v>79</v>
      </c>
      <c r="B1704" s="43" t="s">
        <v>168</v>
      </c>
      <c r="C1704" s="62">
        <f>VLOOKUP(B1704,合并仓明细!$D$2:$F$74,3,0)</f>
        <v>216</v>
      </c>
      <c r="D1704" s="44" t="s">
        <v>414</v>
      </c>
      <c r="E1704" s="43" t="s">
        <v>335</v>
      </c>
      <c r="F1704" t="s">
        <v>66</v>
      </c>
      <c r="G1704" s="42">
        <v>1285</v>
      </c>
      <c r="H1704">
        <v>1.2849999999999999</v>
      </c>
      <c r="K1704" s="1"/>
      <c r="L1704" s="37">
        <f>IF(H1704&gt;30,QUOTIENT(H1704,30)*VLOOKUP(D1704,'报价表-配送'!$B$40:$I$44,8,0),0)+IF(AND(MOD(H1704,30)&gt;18,MOD(H1704,30)&lt;=30),1,0)*VLOOKUP(D1704,'报价表-配送'!$B$40:$I$44,8,0)+IF(AND(MOD(H1704,30)&gt;8,MOD(H1704,30)&lt;=18),1*VLOOKUP(D1704,'报价表-配送'!$B$40:$I$44,7,0),0)+IF(AND(MOD(H1704,30)&lt;=8,MOD(H1704,30)&gt;2.5),1,0)*VLOOKUP(D1704,'报价表-配送'!$B$40:$I$44,6,0)+IF(AND(MOD(H1704,30)&lt;=2.5,MOD(H1704,30)&gt;=1.5),1,0)*VLOOKUP(D1704,'报价表-配送'!$B$40:$I$44,5,0)</f>
        <v>0</v>
      </c>
      <c r="M1704" s="39">
        <f>IF(AND(MOD(H1704,30)&lt;1.5,MOD(H1704,30)&gt;=0.5),H1704,0)*VLOOKUP(D1704,'报价表-配送'!$B$40:$I$44,4,0)*1000+IF(AND(MOD(H1704,30)&lt;0.5,MOD(H1704,30)&gt;=0.02),H1704,0)*VLOOKUP(D1704,'报价表-配送'!$B$40:$I$44,3,0)*1000+IF(AND(MOD(H1704,30)&lt;0.02),H1704,0)*VLOOKUP(D1704,'报价表-配送'!$B$40:$I$44,2,0)*1000</f>
        <v>0</v>
      </c>
      <c r="N1704" s="38">
        <f t="shared" si="26"/>
        <v>0</v>
      </c>
    </row>
    <row r="1705" spans="1:15" x14ac:dyDescent="0.25">
      <c r="A1705" t="s">
        <v>79</v>
      </c>
      <c r="B1705" s="43" t="s">
        <v>168</v>
      </c>
      <c r="C1705" s="62">
        <f>VLOOKUP(B1705,合并仓明细!$D$2:$F$74,3,0)</f>
        <v>216</v>
      </c>
      <c r="D1705" s="44" t="s">
        <v>414</v>
      </c>
      <c r="E1705" s="43" t="s">
        <v>354</v>
      </c>
      <c r="F1705" t="s">
        <v>66</v>
      </c>
      <c r="G1705" s="42">
        <v>870.18000000000006</v>
      </c>
      <c r="H1705">
        <v>0.87018000000000006</v>
      </c>
      <c r="K1705" s="1"/>
      <c r="L1705" s="37">
        <f>IF(H1705&gt;30,QUOTIENT(H1705,30)*VLOOKUP(D1705,'报价表-配送'!$B$40:$I$44,8,0),0)+IF(AND(MOD(H1705,30)&gt;18,MOD(H1705,30)&lt;=30),1,0)*VLOOKUP(D1705,'报价表-配送'!$B$40:$I$44,8,0)+IF(AND(MOD(H1705,30)&gt;8,MOD(H1705,30)&lt;=18),1*VLOOKUP(D1705,'报价表-配送'!$B$40:$I$44,7,0),0)+IF(AND(MOD(H1705,30)&lt;=8,MOD(H1705,30)&gt;2.5),1,0)*VLOOKUP(D1705,'报价表-配送'!$B$40:$I$44,6,0)+IF(AND(MOD(H1705,30)&lt;=2.5,MOD(H1705,30)&gt;=1.5),1,0)*VLOOKUP(D1705,'报价表-配送'!$B$40:$I$44,5,0)</f>
        <v>0</v>
      </c>
      <c r="M1705" s="39">
        <f>IF(AND(MOD(H1705,30)&lt;1.5,MOD(H1705,30)&gt;=0.5),H1705,0)*VLOOKUP(D1705,'报价表-配送'!$B$40:$I$44,4,0)*1000+IF(AND(MOD(H1705,30)&lt;0.5,MOD(H1705,30)&gt;=0.02),H1705,0)*VLOOKUP(D1705,'报价表-配送'!$B$40:$I$44,3,0)*1000+IF(AND(MOD(H1705,30)&lt;0.02),H1705,0)*VLOOKUP(D1705,'报价表-配送'!$B$40:$I$44,2,0)*1000</f>
        <v>0</v>
      </c>
      <c r="N1705" s="38">
        <f t="shared" si="26"/>
        <v>0</v>
      </c>
    </row>
    <row r="1706" spans="1:15" x14ac:dyDescent="0.25">
      <c r="A1706" t="s">
        <v>79</v>
      </c>
      <c r="B1706" s="43" t="s">
        <v>168</v>
      </c>
      <c r="C1706" s="62">
        <f>VLOOKUP(B1706,合并仓明细!$D$2:$F$74,3,0)</f>
        <v>216</v>
      </c>
      <c r="D1706" s="44" t="s">
        <v>414</v>
      </c>
      <c r="E1706" s="43" t="s">
        <v>271</v>
      </c>
      <c r="F1706" t="s">
        <v>66</v>
      </c>
      <c r="G1706" s="42">
        <v>974.45999999999992</v>
      </c>
      <c r="H1706">
        <v>0.97445999999999988</v>
      </c>
      <c r="K1706" s="1"/>
      <c r="L1706" s="37">
        <f>IF(H1706&gt;30,QUOTIENT(H1706,30)*VLOOKUP(D1706,'报价表-配送'!$B$40:$I$44,8,0),0)+IF(AND(MOD(H1706,30)&gt;18,MOD(H1706,30)&lt;=30),1,0)*VLOOKUP(D1706,'报价表-配送'!$B$40:$I$44,8,0)+IF(AND(MOD(H1706,30)&gt;8,MOD(H1706,30)&lt;=18),1*VLOOKUP(D1706,'报价表-配送'!$B$40:$I$44,7,0),0)+IF(AND(MOD(H1706,30)&lt;=8,MOD(H1706,30)&gt;2.5),1,0)*VLOOKUP(D1706,'报价表-配送'!$B$40:$I$44,6,0)+IF(AND(MOD(H1706,30)&lt;=2.5,MOD(H1706,30)&gt;=1.5),1,0)*VLOOKUP(D1706,'报价表-配送'!$B$40:$I$44,5,0)</f>
        <v>0</v>
      </c>
      <c r="M1706" s="39">
        <f>IF(AND(MOD(H1706,30)&lt;1.5,MOD(H1706,30)&gt;=0.5),H1706,0)*VLOOKUP(D1706,'报价表-配送'!$B$40:$I$44,4,0)*1000+IF(AND(MOD(H1706,30)&lt;0.5,MOD(H1706,30)&gt;=0.02),H1706,0)*VLOOKUP(D1706,'报价表-配送'!$B$40:$I$44,3,0)*1000+IF(AND(MOD(H1706,30)&lt;0.02),H1706,0)*VLOOKUP(D1706,'报价表-配送'!$B$40:$I$44,2,0)*1000</f>
        <v>0</v>
      </c>
      <c r="N1706" s="38">
        <f t="shared" si="26"/>
        <v>0</v>
      </c>
    </row>
    <row r="1707" spans="1:15" x14ac:dyDescent="0.25">
      <c r="A1707" t="s">
        <v>79</v>
      </c>
      <c r="B1707" s="45" t="s">
        <v>168</v>
      </c>
      <c r="C1707" s="62">
        <f>VLOOKUP(B1707,合并仓明细!$D$2:$F$74,3,0)</f>
        <v>216</v>
      </c>
      <c r="D1707" s="44" t="s">
        <v>414</v>
      </c>
      <c r="E1707" s="43" t="s">
        <v>272</v>
      </c>
      <c r="F1707" t="s">
        <v>66</v>
      </c>
      <c r="G1707" s="42">
        <v>27</v>
      </c>
      <c r="H1707">
        <v>2.7E-2</v>
      </c>
      <c r="K1707" s="1"/>
      <c r="L1707" s="37">
        <f>IF(H1707&gt;30,QUOTIENT(H1707,30)*VLOOKUP(D1707,'报价表-配送'!$B$40:$I$44,8,0),0)+IF(AND(MOD(H1707,30)&gt;18,MOD(H1707,30)&lt;=30),1,0)*VLOOKUP(D1707,'报价表-配送'!$B$40:$I$44,8,0)+IF(AND(MOD(H1707,30)&gt;8,MOD(H1707,30)&lt;=18),1*VLOOKUP(D1707,'报价表-配送'!$B$40:$I$44,7,0),0)+IF(AND(MOD(H1707,30)&lt;=8,MOD(H1707,30)&gt;2.5),1,0)*VLOOKUP(D1707,'报价表-配送'!$B$40:$I$44,6,0)+IF(AND(MOD(H1707,30)&lt;=2.5,MOD(H1707,30)&gt;=1.5),1,0)*VLOOKUP(D1707,'报价表-配送'!$B$40:$I$44,5,0)</f>
        <v>0</v>
      </c>
      <c r="M1707" s="39">
        <f>IF(AND(MOD(H1707,30)&lt;1.5,MOD(H1707,30)&gt;=0.5),H1707,0)*VLOOKUP(D1707,'报价表-配送'!$B$40:$I$44,4,0)*1000+IF(AND(MOD(H1707,30)&lt;0.5,MOD(H1707,30)&gt;=0.02),H1707,0)*VLOOKUP(D1707,'报价表-配送'!$B$40:$I$44,3,0)*1000+IF(AND(MOD(H1707,30)&lt;0.02),H1707,0)*VLOOKUP(D1707,'报价表-配送'!$B$40:$I$44,2,0)*1000</f>
        <v>0</v>
      </c>
      <c r="N1707" s="38">
        <f t="shared" si="26"/>
        <v>0</v>
      </c>
    </row>
    <row r="1708" spans="1:15" x14ac:dyDescent="0.25">
      <c r="A1708" s="56" t="s">
        <v>79</v>
      </c>
      <c r="B1708" s="41" t="s">
        <v>168</v>
      </c>
      <c r="C1708" s="62">
        <f>VLOOKUP(B1708,合并仓明细!$D$2:$F$74,3,0)</f>
        <v>216</v>
      </c>
      <c r="D1708" s="44" t="s">
        <v>414</v>
      </c>
      <c r="E1708" s="41" t="s">
        <v>259</v>
      </c>
      <c r="F1708" s="40" t="s">
        <v>66</v>
      </c>
      <c r="G1708" s="37">
        <v>4.5</v>
      </c>
      <c r="H1708" s="37">
        <v>4.4999999999999997E-3</v>
      </c>
      <c r="I1708" s="38"/>
      <c r="J1708" s="38"/>
      <c r="K1708" s="38"/>
      <c r="L1708" s="37">
        <f>IF(H1708&gt;30,QUOTIENT(H1708,30)*VLOOKUP(D1708,'报价表-配送'!$B$40:$I$44,8,0),0)+IF(AND(MOD(H1708,30)&gt;18,MOD(H1708,30)&lt;=30),1,0)*VLOOKUP(D1708,'报价表-配送'!$B$40:$I$44,8,0)+IF(AND(MOD(H1708,30)&gt;8,MOD(H1708,30)&lt;=18),1*VLOOKUP(D1708,'报价表-配送'!$B$40:$I$44,7,0),0)+IF(AND(MOD(H1708,30)&lt;=8,MOD(H1708,30)&gt;2.5),1,0)*VLOOKUP(D1708,'报价表-配送'!$B$40:$I$44,6,0)+IF(AND(MOD(H1708,30)&lt;=2.5,MOD(H1708,30)&gt;=1.5),1,0)*VLOOKUP(D1708,'报价表-配送'!$B$40:$I$44,5,0)</f>
        <v>0</v>
      </c>
      <c r="M1708" s="39">
        <f>IF(AND(MOD(H1708,30)&lt;1.5,MOD(H1708,30)&gt;=0.5),H1708,0)*VLOOKUP(D1708,'报价表-配送'!$B$40:$I$44,4,0)*1000+IF(AND(MOD(H1708,30)&lt;0.5,MOD(H1708,30)&gt;=0.02),H1708,0)*VLOOKUP(D1708,'报价表-配送'!$B$40:$I$44,3,0)*1000+IF(AND(MOD(H1708,30)&lt;0.02),H1708,0)*VLOOKUP(D1708,'报价表-配送'!$B$40:$I$44,2,0)*1000</f>
        <v>0</v>
      </c>
      <c r="N1708" s="38">
        <f t="shared" si="26"/>
        <v>0</v>
      </c>
      <c r="O1708" s="37"/>
    </row>
    <row r="1709" spans="1:15" x14ac:dyDescent="0.25">
      <c r="A1709" s="56" t="s">
        <v>79</v>
      </c>
      <c r="B1709" s="41" t="s">
        <v>168</v>
      </c>
      <c r="C1709" s="62">
        <f>VLOOKUP(B1709,合并仓明细!$D$2:$F$74,3,0)</f>
        <v>216</v>
      </c>
      <c r="D1709" s="44" t="s">
        <v>414</v>
      </c>
      <c r="E1709" s="41" t="s">
        <v>322</v>
      </c>
      <c r="F1709" s="40" t="s">
        <v>66</v>
      </c>
      <c r="G1709" s="37">
        <v>19.5</v>
      </c>
      <c r="H1709" s="37">
        <v>1.95E-2</v>
      </c>
      <c r="I1709" s="38"/>
      <c r="J1709" s="38"/>
      <c r="K1709" s="38"/>
      <c r="L1709" s="37">
        <f>IF(H1709&gt;30,QUOTIENT(H1709,30)*VLOOKUP(D1709,'报价表-配送'!$B$40:$I$44,8,0),0)+IF(AND(MOD(H1709,30)&gt;18,MOD(H1709,30)&lt;=30),1,0)*VLOOKUP(D1709,'报价表-配送'!$B$40:$I$44,8,0)+IF(AND(MOD(H1709,30)&gt;8,MOD(H1709,30)&lt;=18),1*VLOOKUP(D1709,'报价表-配送'!$B$40:$I$44,7,0),0)+IF(AND(MOD(H1709,30)&lt;=8,MOD(H1709,30)&gt;2.5),1,0)*VLOOKUP(D1709,'报价表-配送'!$B$40:$I$44,6,0)+IF(AND(MOD(H1709,30)&lt;=2.5,MOD(H1709,30)&gt;=1.5),1,0)*VLOOKUP(D1709,'报价表-配送'!$B$40:$I$44,5,0)</f>
        <v>0</v>
      </c>
      <c r="M1709" s="39">
        <f>IF(AND(MOD(H1709,30)&lt;1.5,MOD(H1709,30)&gt;=0.5),H1709,0)*VLOOKUP(D1709,'报价表-配送'!$B$40:$I$44,4,0)*1000+IF(AND(MOD(H1709,30)&lt;0.5,MOD(H1709,30)&gt;=0.02),H1709,0)*VLOOKUP(D1709,'报价表-配送'!$B$40:$I$44,3,0)*1000+IF(AND(MOD(H1709,30)&lt;0.02),H1709,0)*VLOOKUP(D1709,'报价表-配送'!$B$40:$I$44,2,0)*1000</f>
        <v>0</v>
      </c>
      <c r="N1709" s="38">
        <f t="shared" si="26"/>
        <v>0</v>
      </c>
      <c r="O1709" s="37"/>
    </row>
    <row r="1710" spans="1:15" x14ac:dyDescent="0.25">
      <c r="A1710" s="56" t="s">
        <v>79</v>
      </c>
      <c r="B1710" s="41" t="s">
        <v>168</v>
      </c>
      <c r="C1710" s="62">
        <f>VLOOKUP(B1710,合并仓明细!$D$2:$F$74,3,0)</f>
        <v>216</v>
      </c>
      <c r="D1710" s="44" t="s">
        <v>414</v>
      </c>
      <c r="E1710" s="41" t="s">
        <v>336</v>
      </c>
      <c r="F1710" s="40" t="s">
        <v>66</v>
      </c>
      <c r="G1710" s="37">
        <v>893.66</v>
      </c>
      <c r="H1710" s="38">
        <v>0.89366000000000001</v>
      </c>
      <c r="I1710" s="37"/>
      <c r="J1710" s="37"/>
      <c r="K1710" s="37"/>
      <c r="L1710" s="37">
        <f>IF(H1710&gt;30,QUOTIENT(H1710,30)*VLOOKUP(D1710,'报价表-配送'!$B$40:$I$44,8,0),0)+IF(AND(MOD(H1710,30)&gt;18,MOD(H1710,30)&lt;=30),1,0)*VLOOKUP(D1710,'报价表-配送'!$B$40:$I$44,8,0)+IF(AND(MOD(H1710,30)&gt;8,MOD(H1710,30)&lt;=18),1*VLOOKUP(D1710,'报价表-配送'!$B$40:$I$44,7,0),0)+IF(AND(MOD(H1710,30)&lt;=8,MOD(H1710,30)&gt;2.5),1,0)*VLOOKUP(D1710,'报价表-配送'!$B$40:$I$44,6,0)+IF(AND(MOD(H1710,30)&lt;=2.5,MOD(H1710,30)&gt;=1.5),1,0)*VLOOKUP(D1710,'报价表-配送'!$B$40:$I$44,5,0)</f>
        <v>0</v>
      </c>
      <c r="M1710" s="39">
        <f>IF(AND(MOD(H1710,30)&lt;1.5,MOD(H1710,30)&gt;=0.5),H1710,0)*VLOOKUP(D1710,'报价表-配送'!$B$40:$I$44,4,0)*1000+IF(AND(MOD(H1710,30)&lt;0.5,MOD(H1710,30)&gt;=0.02),H1710,0)*VLOOKUP(D1710,'报价表-配送'!$B$40:$I$44,3,0)*1000+IF(AND(MOD(H1710,30)&lt;0.02),H1710,0)*VLOOKUP(D1710,'报价表-配送'!$B$40:$I$44,2,0)*1000</f>
        <v>0</v>
      </c>
      <c r="N1710" s="38">
        <f t="shared" si="26"/>
        <v>0</v>
      </c>
      <c r="O1710" s="37"/>
    </row>
    <row r="1711" spans="1:15" x14ac:dyDescent="0.25">
      <c r="A1711" s="56" t="s">
        <v>79</v>
      </c>
      <c r="B1711" s="41" t="s">
        <v>168</v>
      </c>
      <c r="C1711" s="62">
        <f>VLOOKUP(B1711,合并仓明细!$D$2:$F$74,3,0)</f>
        <v>216</v>
      </c>
      <c r="D1711" s="44" t="s">
        <v>414</v>
      </c>
      <c r="E1711" s="41" t="s">
        <v>274</v>
      </c>
      <c r="F1711" s="40" t="s">
        <v>67</v>
      </c>
      <c r="G1711" s="37">
        <v>745.61</v>
      </c>
      <c r="H1711" s="38">
        <v>0.89258000000000004</v>
      </c>
      <c r="I1711" s="38">
        <f>IF(H1711&gt;30,QUOTIENT(H1711,30)*VLOOKUP(D1711,'报价表-配送'!$B$40:$I$44,8,0),0)+IF(AND(MOD(H1711,30)&gt;18,MOD(H1711,30)&lt;=30),1,0)*VLOOKUP(D1711,'报价表-配送'!$B$40:$I$44,8,0)</f>
        <v>0</v>
      </c>
      <c r="J1711" s="38">
        <f>IF(AND(MOD(H1711,30)&gt;8,MOD(H1711,30)&lt;=18),1*VLOOKUP(D1711,'报价表-配送'!$B$40:$I$44,7,0),0)</f>
        <v>0</v>
      </c>
      <c r="K1711" s="38">
        <f>IF(AND(MOD(H1711,30)&lt;=8,MOD(H1711,30)&gt;0),1,0)*VLOOKUP(D1711,'报价表-配送'!$B$40:$I$44,6,0)</f>
        <v>0</v>
      </c>
      <c r="L1711" s="37"/>
      <c r="M1711" s="39"/>
      <c r="N1711" s="38">
        <f t="shared" si="26"/>
        <v>0</v>
      </c>
      <c r="O1711" s="37"/>
    </row>
    <row r="1712" spans="1:15" x14ac:dyDescent="0.25">
      <c r="A1712" s="56" t="s">
        <v>79</v>
      </c>
      <c r="B1712" s="41" t="s">
        <v>168</v>
      </c>
      <c r="C1712" s="62">
        <f>VLOOKUP(B1712,合并仓明细!$D$2:$F$74,3,0)</f>
        <v>216</v>
      </c>
      <c r="D1712" s="44" t="s">
        <v>414</v>
      </c>
      <c r="E1712" s="41" t="s">
        <v>274</v>
      </c>
      <c r="F1712" s="40" t="s">
        <v>66</v>
      </c>
      <c r="G1712" s="37">
        <v>146.97</v>
      </c>
      <c r="H1712" s="38"/>
      <c r="I1712" s="37"/>
      <c r="J1712" s="37"/>
      <c r="K1712" s="37"/>
      <c r="L1712" s="37"/>
      <c r="M1712" s="39"/>
      <c r="N1712" s="38">
        <f t="shared" si="26"/>
        <v>0</v>
      </c>
      <c r="O1712" s="37"/>
    </row>
    <row r="1713" spans="1:15" x14ac:dyDescent="0.25">
      <c r="A1713" s="56" t="s">
        <v>79</v>
      </c>
      <c r="B1713" s="41" t="s">
        <v>168</v>
      </c>
      <c r="C1713" s="62">
        <f>VLOOKUP(B1713,合并仓明细!$D$2:$F$74,3,0)</f>
        <v>216</v>
      </c>
      <c r="D1713" s="44" t="s">
        <v>414</v>
      </c>
      <c r="E1713" s="41" t="s">
        <v>351</v>
      </c>
      <c r="F1713" s="40" t="s">
        <v>67</v>
      </c>
      <c r="G1713" s="37">
        <v>366.03</v>
      </c>
      <c r="H1713" s="38">
        <v>1.3697900000000001</v>
      </c>
      <c r="I1713" s="38">
        <f>IF(H1713&gt;30,QUOTIENT(H1713,30)*VLOOKUP(D1713,'报价表-配送'!$B$40:$I$44,8,0),0)+IF(AND(MOD(H1713,30)&gt;18,MOD(H1713,30)&lt;=30),1,0)*VLOOKUP(D1713,'报价表-配送'!$B$40:$I$44,8,0)</f>
        <v>0</v>
      </c>
      <c r="J1713" s="38">
        <f>IF(AND(MOD(H1713,30)&gt;8,MOD(H1713,30)&lt;=18),1*VLOOKUP(D1713,'报价表-配送'!$B$40:$I$44,7,0),0)</f>
        <v>0</v>
      </c>
      <c r="K1713" s="38">
        <f>IF(AND(MOD(H1713,30)&lt;=8,MOD(H1713,30)&gt;0),1,0)*VLOOKUP(D1713,'报价表-配送'!$B$40:$I$44,6,0)</f>
        <v>0</v>
      </c>
      <c r="L1713" s="37"/>
      <c r="M1713" s="39"/>
      <c r="N1713" s="38">
        <f t="shared" si="26"/>
        <v>0</v>
      </c>
      <c r="O1713" s="37"/>
    </row>
    <row r="1714" spans="1:15" x14ac:dyDescent="0.25">
      <c r="A1714" s="56" t="s">
        <v>79</v>
      </c>
      <c r="B1714" s="41" t="s">
        <v>168</v>
      </c>
      <c r="C1714" s="62">
        <f>VLOOKUP(B1714,合并仓明细!$D$2:$F$74,3,0)</f>
        <v>216</v>
      </c>
      <c r="D1714" s="44" t="s">
        <v>414</v>
      </c>
      <c r="E1714" s="41" t="s">
        <v>351</v>
      </c>
      <c r="F1714" s="40" t="s">
        <v>66</v>
      </c>
      <c r="G1714" s="37">
        <v>1003.76</v>
      </c>
      <c r="H1714" s="37"/>
      <c r="I1714" s="38"/>
      <c r="J1714" s="38"/>
      <c r="K1714" s="38"/>
      <c r="L1714" s="37"/>
      <c r="M1714" s="37"/>
      <c r="N1714" s="38">
        <f t="shared" si="26"/>
        <v>0</v>
      </c>
      <c r="O1714" s="37"/>
    </row>
    <row r="1715" spans="1:15" x14ac:dyDescent="0.25">
      <c r="A1715" s="56" t="s">
        <v>79</v>
      </c>
      <c r="B1715" s="41" t="s">
        <v>168</v>
      </c>
      <c r="C1715" s="62">
        <f>VLOOKUP(B1715,合并仓明细!$D$2:$F$74,3,0)</f>
        <v>216</v>
      </c>
      <c r="D1715" s="44" t="s">
        <v>414</v>
      </c>
      <c r="E1715" s="41" t="s">
        <v>275</v>
      </c>
      <c r="F1715" s="40" t="s">
        <v>67</v>
      </c>
      <c r="G1715" s="37">
        <v>3421.8999999999996</v>
      </c>
      <c r="H1715" s="38">
        <v>3.4523999999999995</v>
      </c>
      <c r="I1715" s="38">
        <f>IF(H1715&gt;30,QUOTIENT(H1715,30)*VLOOKUP(D1715,'报价表-配送'!$B$40:$I$44,8,0),0)+IF(AND(MOD(H1715,30)&gt;18,MOD(H1715,30)&lt;=30),1,0)*VLOOKUP(D1715,'报价表-配送'!$B$40:$I$44,8,0)</f>
        <v>0</v>
      </c>
      <c r="J1715" s="38">
        <f>IF(AND(MOD(H1715,30)&gt;8,MOD(H1715,30)&lt;=18),1*VLOOKUP(D1715,'报价表-配送'!$B$40:$I$44,7,0),0)</f>
        <v>0</v>
      </c>
      <c r="K1715" s="38">
        <f>IF(AND(MOD(H1715,30)&lt;=8,MOD(H1715,30)&gt;0),1,0)*VLOOKUP(D1715,'报价表-配送'!$B$40:$I$44,6,0)</f>
        <v>0</v>
      </c>
      <c r="L1715" s="37"/>
      <c r="M1715" s="39"/>
      <c r="N1715" s="38">
        <f t="shared" si="26"/>
        <v>0</v>
      </c>
      <c r="O1715" s="37"/>
    </row>
    <row r="1716" spans="1:15" x14ac:dyDescent="0.25">
      <c r="A1716" s="56" t="s">
        <v>79</v>
      </c>
      <c r="B1716" s="41" t="s">
        <v>168</v>
      </c>
      <c r="C1716" s="62">
        <f>VLOOKUP(B1716,合并仓明细!$D$2:$F$74,3,0)</f>
        <v>216</v>
      </c>
      <c r="D1716" s="44" t="s">
        <v>414</v>
      </c>
      <c r="E1716" s="41" t="s">
        <v>275</v>
      </c>
      <c r="F1716" s="40" t="s">
        <v>66</v>
      </c>
      <c r="G1716" s="37">
        <v>30.5</v>
      </c>
      <c r="H1716" s="38"/>
      <c r="I1716" s="37"/>
      <c r="J1716" s="37"/>
      <c r="K1716" s="37"/>
      <c r="L1716" s="37"/>
      <c r="M1716" s="39"/>
      <c r="N1716" s="38">
        <f t="shared" si="26"/>
        <v>0</v>
      </c>
      <c r="O1716" s="37"/>
    </row>
    <row r="1717" spans="1:15" x14ac:dyDescent="0.25">
      <c r="A1717" s="56" t="s">
        <v>79</v>
      </c>
      <c r="B1717" s="41" t="s">
        <v>168</v>
      </c>
      <c r="C1717" s="62">
        <f>VLOOKUP(B1717,合并仓明细!$D$2:$F$74,3,0)</f>
        <v>216</v>
      </c>
      <c r="D1717" s="44" t="s">
        <v>414</v>
      </c>
      <c r="E1717" s="41" t="s">
        <v>277</v>
      </c>
      <c r="F1717" s="40" t="s">
        <v>66</v>
      </c>
      <c r="G1717" s="37">
        <v>580</v>
      </c>
      <c r="H1717" s="38">
        <v>0.57999999999999996</v>
      </c>
      <c r="I1717" s="37"/>
      <c r="J1717" s="37"/>
      <c r="K1717" s="37"/>
      <c r="L1717" s="37">
        <f>IF(H1717&gt;30,QUOTIENT(H1717,30)*VLOOKUP(D1717,'报价表-配送'!$B$40:$I$44,8,0),0)+IF(AND(MOD(H1717,30)&gt;18,MOD(H1717,30)&lt;=30),1,0)*VLOOKUP(D1717,'报价表-配送'!$B$40:$I$44,8,0)+IF(AND(MOD(H1717,30)&gt;8,MOD(H1717,30)&lt;=18),1*VLOOKUP(D1717,'报价表-配送'!$B$40:$I$44,7,0),0)+IF(AND(MOD(H1717,30)&lt;=8,MOD(H1717,30)&gt;2.5),1,0)*VLOOKUP(D1717,'报价表-配送'!$B$40:$I$44,6,0)+IF(AND(MOD(H1717,30)&lt;=2.5,MOD(H1717,30)&gt;=1.5),1,0)*VLOOKUP(D1717,'报价表-配送'!$B$40:$I$44,5,0)</f>
        <v>0</v>
      </c>
      <c r="M1717" s="39">
        <f>IF(AND(MOD(H1717,30)&lt;1.5,MOD(H1717,30)&gt;=0.5),H1717,0)*VLOOKUP(D1717,'报价表-配送'!$B$40:$I$44,4,0)*1000+IF(AND(MOD(H1717,30)&lt;0.5,MOD(H1717,30)&gt;=0.02),H1717,0)*VLOOKUP(D1717,'报价表-配送'!$B$40:$I$44,3,0)*1000+IF(AND(MOD(H1717,30)&lt;0.02),H1717,0)*VLOOKUP(D1717,'报价表-配送'!$B$40:$I$44,2,0)*1000</f>
        <v>0</v>
      </c>
      <c r="N1717" s="38">
        <f t="shared" si="26"/>
        <v>0</v>
      </c>
      <c r="O1717" s="37"/>
    </row>
    <row r="1718" spans="1:15" x14ac:dyDescent="0.25">
      <c r="A1718" s="56" t="s">
        <v>79</v>
      </c>
      <c r="B1718" s="41" t="s">
        <v>168</v>
      </c>
      <c r="C1718" s="62">
        <f>VLOOKUP(B1718,合并仓明细!$D$2:$F$74,3,0)</f>
        <v>216</v>
      </c>
      <c r="D1718" s="44" t="s">
        <v>414</v>
      </c>
      <c r="E1718" s="41" t="s">
        <v>361</v>
      </c>
      <c r="F1718" s="40" t="s">
        <v>66</v>
      </c>
      <c r="G1718" s="108">
        <v>1580.99</v>
      </c>
      <c r="H1718" s="116">
        <v>1.5809899999999999</v>
      </c>
      <c r="I1718" s="37"/>
      <c r="J1718" s="37"/>
      <c r="K1718" s="37"/>
      <c r="L1718" s="37">
        <f>IF(H1718&gt;30,QUOTIENT(H1718,30)*VLOOKUP(D1718,'报价表-配送'!$B$40:$I$44,8,0),0)+IF(AND(MOD(H1718,30)&gt;18,MOD(H1718,30)&lt;=30),1,0)*VLOOKUP(D1718,'报价表-配送'!$B$40:$I$44,8,0)+IF(AND(MOD(H1718,30)&gt;8,MOD(H1718,30)&lt;=18),1*VLOOKUP(D1718,'报价表-配送'!$B$40:$I$44,7,0),0)+IF(AND(MOD(H1718,30)&lt;=8,MOD(H1718,30)&gt;2.5),1,0)*VLOOKUP(D1718,'报价表-配送'!$B$40:$I$44,6,0)+IF(AND(MOD(H1718,30)&lt;=2.5,MOD(H1718,30)&gt;=1.5),1,0)*VLOOKUP(D1718,'报价表-配送'!$B$40:$I$44,5,0)</f>
        <v>0</v>
      </c>
      <c r="M1718" s="39">
        <f>IF(AND(MOD(H1718,30)&lt;1.5,MOD(H1718,30)&gt;=0.5),H1718,0)*VLOOKUP(D1718,'报价表-配送'!$B$40:$I$44,4,0)*1000+IF(AND(MOD(H1718,30)&lt;0.5,MOD(H1718,30)&gt;=0.02),H1718,0)*VLOOKUP(D1718,'报价表-配送'!$B$40:$I$44,3,0)*1000+IF(AND(MOD(H1718,30)&lt;0.02),H1718,0)*VLOOKUP(D1718,'报价表-配送'!$B$40:$I$44,2,0)*1000</f>
        <v>0</v>
      </c>
      <c r="N1718" s="38">
        <f t="shared" si="26"/>
        <v>0</v>
      </c>
      <c r="O1718" s="37"/>
    </row>
    <row r="1719" spans="1:15" x14ac:dyDescent="0.25">
      <c r="A1719" t="s">
        <v>79</v>
      </c>
      <c r="B1719" s="44" t="s">
        <v>168</v>
      </c>
      <c r="C1719" s="62">
        <f>VLOOKUP(B1719,合并仓明细!$D$2:$F$74,3,0)</f>
        <v>216</v>
      </c>
      <c r="D1719" s="44" t="s">
        <v>414</v>
      </c>
      <c r="E1719" s="43" t="s">
        <v>312</v>
      </c>
      <c r="F1719" t="s">
        <v>66</v>
      </c>
      <c r="G1719" s="42">
        <v>552.45000000000005</v>
      </c>
      <c r="H1719">
        <v>0.55245</v>
      </c>
      <c r="I1719" s="38"/>
      <c r="J1719" s="38"/>
      <c r="K1719" s="38"/>
      <c r="L1719" s="37">
        <f>IF(H1719&gt;30,QUOTIENT(H1719,30)*VLOOKUP(D1719,'报价表-配送'!$B$40:$I$44,8,0),0)+IF(AND(MOD(H1719,30)&gt;18,MOD(H1719,30)&lt;=30),1,0)*VLOOKUP(D1719,'报价表-配送'!$B$40:$I$44,8,0)+IF(AND(MOD(H1719,30)&gt;8,MOD(H1719,30)&lt;=18),1*VLOOKUP(D1719,'报价表-配送'!$B$40:$I$44,7,0),0)+IF(AND(MOD(H1719,30)&lt;=8,MOD(H1719,30)&gt;2.5),1,0)*VLOOKUP(D1719,'报价表-配送'!$B$40:$I$44,6,0)+IF(AND(MOD(H1719,30)&lt;=2.5,MOD(H1719,30)&gt;=1.5),1,0)*VLOOKUP(D1719,'报价表-配送'!$B$40:$I$44,5,0)</f>
        <v>0</v>
      </c>
      <c r="M1719" s="39">
        <f>IF(AND(MOD(H1719,30)&lt;1.5,MOD(H1719,30)&gt;=0.5),H1719,0)*VLOOKUP(D1719,'报价表-配送'!$B$40:$I$44,4,0)*1000+IF(AND(MOD(H1719,30)&lt;0.5,MOD(H1719,30)&gt;=0.02),H1719,0)*VLOOKUP(D1719,'报价表-配送'!$B$40:$I$44,3,0)*1000+IF(AND(MOD(H1719,30)&lt;0.02),H1719,0)*VLOOKUP(D1719,'报价表-配送'!$B$40:$I$44,2,0)*1000</f>
        <v>0</v>
      </c>
      <c r="N1719" s="38">
        <f t="shared" si="26"/>
        <v>0</v>
      </c>
    </row>
    <row r="1720" spans="1:15" x14ac:dyDescent="0.25">
      <c r="A1720" t="s">
        <v>79</v>
      </c>
      <c r="B1720" s="43" t="s">
        <v>168</v>
      </c>
      <c r="C1720" s="62">
        <f>VLOOKUP(B1720,合并仓明细!$D$2:$F$74,3,0)</f>
        <v>216</v>
      </c>
      <c r="D1720" s="44" t="s">
        <v>414</v>
      </c>
      <c r="E1720" s="43" t="s">
        <v>285</v>
      </c>
      <c r="F1720" t="s">
        <v>66</v>
      </c>
      <c r="G1720" s="42">
        <v>54.88</v>
      </c>
      <c r="H1720">
        <v>5.4880000000000005E-2</v>
      </c>
      <c r="K1720" s="1"/>
      <c r="L1720" s="37">
        <f>IF(H1720&gt;30,QUOTIENT(H1720,30)*VLOOKUP(D1720,'报价表-配送'!$B$40:$I$44,8,0),0)+IF(AND(MOD(H1720,30)&gt;18,MOD(H1720,30)&lt;=30),1,0)*VLOOKUP(D1720,'报价表-配送'!$B$40:$I$44,8,0)+IF(AND(MOD(H1720,30)&gt;8,MOD(H1720,30)&lt;=18),1*VLOOKUP(D1720,'报价表-配送'!$B$40:$I$44,7,0),0)+IF(AND(MOD(H1720,30)&lt;=8,MOD(H1720,30)&gt;2.5),1,0)*VLOOKUP(D1720,'报价表-配送'!$B$40:$I$44,6,0)+IF(AND(MOD(H1720,30)&lt;=2.5,MOD(H1720,30)&gt;=1.5),1,0)*VLOOKUP(D1720,'报价表-配送'!$B$40:$I$44,5,0)</f>
        <v>0</v>
      </c>
      <c r="M1720" s="39">
        <f>IF(AND(MOD(H1720,30)&lt;1.5,MOD(H1720,30)&gt;=0.5),H1720,0)*VLOOKUP(D1720,'报价表-配送'!$B$40:$I$44,4,0)*1000+IF(AND(MOD(H1720,30)&lt;0.5,MOD(H1720,30)&gt;=0.02),H1720,0)*VLOOKUP(D1720,'报价表-配送'!$B$40:$I$44,3,0)*1000+IF(AND(MOD(H1720,30)&lt;0.02),H1720,0)*VLOOKUP(D1720,'报价表-配送'!$B$40:$I$44,2,0)*1000</f>
        <v>0</v>
      </c>
      <c r="N1720" s="38">
        <f t="shared" si="26"/>
        <v>0</v>
      </c>
    </row>
    <row r="1721" spans="1:15" x14ac:dyDescent="0.25">
      <c r="A1721" t="s">
        <v>79</v>
      </c>
      <c r="B1721" s="43" t="s">
        <v>168</v>
      </c>
      <c r="C1721" s="62">
        <f>VLOOKUP(B1721,合并仓明细!$D$2:$F$74,3,0)</f>
        <v>216</v>
      </c>
      <c r="D1721" s="44" t="s">
        <v>414</v>
      </c>
      <c r="E1721" s="43" t="s">
        <v>329</v>
      </c>
      <c r="F1721" t="s">
        <v>67</v>
      </c>
      <c r="G1721" s="42">
        <v>1885.33</v>
      </c>
      <c r="H1721">
        <v>2.9240999999999997</v>
      </c>
      <c r="I1721" s="38">
        <f>IF(H1721&gt;30,QUOTIENT(H1721,30)*VLOOKUP(D1721,'报价表-配送'!$B$40:$I$44,8,0),0)+IF(AND(MOD(H1721,30)&gt;18,MOD(H1721,30)&lt;=30),1,0)*VLOOKUP(D1721,'报价表-配送'!$B$40:$I$44,8,0)</f>
        <v>0</v>
      </c>
      <c r="J1721" s="38">
        <f>IF(AND(MOD(H1721,30)&gt;8,MOD(H1721,30)&lt;=18),1*VLOOKUP(D1721,'报价表-配送'!$B$40:$I$44,7,0),0)</f>
        <v>0</v>
      </c>
      <c r="K1721" s="38">
        <f>IF(AND(MOD(H1721,30)&lt;=8,MOD(H1721,30)&gt;0),1,0)*VLOOKUP(D1721,'报价表-配送'!$B$40:$I$44,6,0)</f>
        <v>0</v>
      </c>
      <c r="L1721" s="37"/>
      <c r="M1721" s="38"/>
      <c r="N1721" s="38">
        <f t="shared" si="26"/>
        <v>0</v>
      </c>
    </row>
    <row r="1722" spans="1:15" x14ac:dyDescent="0.25">
      <c r="A1722" t="s">
        <v>79</v>
      </c>
      <c r="B1722" s="43" t="s">
        <v>168</v>
      </c>
      <c r="C1722" s="62">
        <f>VLOOKUP(B1722,合并仓明细!$D$2:$F$74,3,0)</f>
        <v>216</v>
      </c>
      <c r="D1722" s="44" t="s">
        <v>414</v>
      </c>
      <c r="E1722" s="43" t="s">
        <v>329</v>
      </c>
      <c r="F1722" t="s">
        <v>66</v>
      </c>
      <c r="G1722" s="42">
        <v>1038.77</v>
      </c>
      <c r="H1722"/>
      <c r="K1722" s="1"/>
      <c r="L1722" s="33"/>
      <c r="M1722" s="1"/>
      <c r="N1722" s="38">
        <f t="shared" si="26"/>
        <v>0</v>
      </c>
    </row>
    <row r="1723" spans="1:15" x14ac:dyDescent="0.25">
      <c r="A1723" t="s">
        <v>79</v>
      </c>
      <c r="B1723" s="43" t="s">
        <v>168</v>
      </c>
      <c r="C1723" s="62">
        <f>VLOOKUP(B1723,合并仓明细!$D$2:$F$74,3,0)</f>
        <v>216</v>
      </c>
      <c r="D1723" s="44" t="s">
        <v>414</v>
      </c>
      <c r="E1723" s="43" t="s">
        <v>375</v>
      </c>
      <c r="F1723" t="s">
        <v>68</v>
      </c>
      <c r="G1723" s="42">
        <v>478.87</v>
      </c>
      <c r="H1723">
        <v>0.63151000000000002</v>
      </c>
      <c r="I1723" s="46">
        <f>ROUNDUP(H1723/30,0)*VLOOKUP(D1723,'报价表-配送'!$B$40:$I$44,8,0)</f>
        <v>0</v>
      </c>
      <c r="J1723" s="38"/>
      <c r="K1723" s="38"/>
      <c r="L1723" s="37"/>
      <c r="M1723" s="38"/>
      <c r="N1723" s="38">
        <f t="shared" si="26"/>
        <v>0</v>
      </c>
    </row>
    <row r="1724" spans="1:15" x14ac:dyDescent="0.25">
      <c r="A1724" t="s">
        <v>79</v>
      </c>
      <c r="B1724" s="43" t="s">
        <v>168</v>
      </c>
      <c r="C1724" s="62">
        <f>VLOOKUP(B1724,合并仓明细!$D$2:$F$74,3,0)</f>
        <v>216</v>
      </c>
      <c r="D1724" s="44" t="s">
        <v>414</v>
      </c>
      <c r="E1724" s="43" t="s">
        <v>375</v>
      </c>
      <c r="F1724" t="s">
        <v>66</v>
      </c>
      <c r="G1724" s="42">
        <v>152.64000000000001</v>
      </c>
      <c r="H1724"/>
      <c r="K1724" s="1"/>
      <c r="L1724" s="33"/>
      <c r="M1724" s="1"/>
      <c r="N1724" s="38">
        <f t="shared" si="26"/>
        <v>0</v>
      </c>
    </row>
    <row r="1725" spans="1:15" x14ac:dyDescent="0.25">
      <c r="A1725" t="s">
        <v>79</v>
      </c>
      <c r="B1725" s="43" t="s">
        <v>168</v>
      </c>
      <c r="C1725" s="62">
        <f>VLOOKUP(B1725,合并仓明细!$D$2:$F$74,3,0)</f>
        <v>216</v>
      </c>
      <c r="D1725" s="44" t="s">
        <v>414</v>
      </c>
      <c r="E1725" s="43" t="s">
        <v>378</v>
      </c>
      <c r="F1725" t="s">
        <v>66</v>
      </c>
      <c r="G1725" s="42">
        <v>1.83</v>
      </c>
      <c r="H1725">
        <v>1.83E-3</v>
      </c>
      <c r="K1725" s="1"/>
      <c r="L1725" s="37">
        <f>IF(H1725&gt;30,QUOTIENT(H1725,30)*VLOOKUP(D1725,'报价表-配送'!$B$40:$I$44,8,0),0)+IF(AND(MOD(H1725,30)&gt;18,MOD(H1725,30)&lt;=30),1,0)*VLOOKUP(D1725,'报价表-配送'!$B$40:$I$44,8,0)+IF(AND(MOD(H1725,30)&gt;8,MOD(H1725,30)&lt;=18),1*VLOOKUP(D1725,'报价表-配送'!$B$40:$I$44,7,0),0)+IF(AND(MOD(H1725,30)&lt;=8,MOD(H1725,30)&gt;2.5),1,0)*VLOOKUP(D1725,'报价表-配送'!$B$40:$I$44,6,0)+IF(AND(MOD(H1725,30)&lt;=2.5,MOD(H1725,30)&gt;=1.5),1,0)*VLOOKUP(D1725,'报价表-配送'!$B$40:$I$44,5,0)</f>
        <v>0</v>
      </c>
      <c r="M1725" s="39">
        <f>IF(AND(MOD(H1725,30)&lt;1.5,MOD(H1725,30)&gt;=0.5),H1725,0)*VLOOKUP(D1725,'报价表-配送'!$B$40:$I$44,4,0)*1000+IF(AND(MOD(H1725,30)&lt;0.5,MOD(H1725,30)&gt;=0.02),H1725,0)*VLOOKUP(D1725,'报价表-配送'!$B$40:$I$44,3,0)*1000+IF(AND(MOD(H1725,30)&lt;0.02),H1725,0)*VLOOKUP(D1725,'报价表-配送'!$B$40:$I$44,2,0)*1000</f>
        <v>0</v>
      </c>
      <c r="N1725" s="38">
        <f t="shared" si="26"/>
        <v>0</v>
      </c>
    </row>
    <row r="1726" spans="1:15" x14ac:dyDescent="0.25">
      <c r="A1726" t="s">
        <v>79</v>
      </c>
      <c r="B1726" s="44" t="s">
        <v>168</v>
      </c>
      <c r="C1726" s="62">
        <f>VLOOKUP(B1726,合并仓明细!$D$2:$F$74,3,0)</f>
        <v>216</v>
      </c>
      <c r="D1726" s="44" t="s">
        <v>414</v>
      </c>
      <c r="E1726" s="43" t="s">
        <v>314</v>
      </c>
      <c r="F1726" t="s">
        <v>66</v>
      </c>
      <c r="G1726" s="42">
        <v>2.62</v>
      </c>
      <c r="H1726">
        <v>2.6199999999999999E-3</v>
      </c>
      <c r="K1726" s="1"/>
      <c r="L1726" s="37">
        <f>IF(H1726&gt;30,QUOTIENT(H1726,30)*VLOOKUP(D1726,'报价表-配送'!$B$40:$I$44,8,0),0)+IF(AND(MOD(H1726,30)&gt;18,MOD(H1726,30)&lt;=30),1,0)*VLOOKUP(D1726,'报价表-配送'!$B$40:$I$44,8,0)+IF(AND(MOD(H1726,30)&gt;8,MOD(H1726,30)&lt;=18),1*VLOOKUP(D1726,'报价表-配送'!$B$40:$I$44,7,0),0)+IF(AND(MOD(H1726,30)&lt;=8,MOD(H1726,30)&gt;2.5),1,0)*VLOOKUP(D1726,'报价表-配送'!$B$40:$I$44,6,0)+IF(AND(MOD(H1726,30)&lt;=2.5,MOD(H1726,30)&gt;=1.5),1,0)*VLOOKUP(D1726,'报价表-配送'!$B$40:$I$44,5,0)</f>
        <v>0</v>
      </c>
      <c r="M1726" s="39">
        <f>IF(AND(MOD(H1726,30)&lt;1.5,MOD(H1726,30)&gt;=0.5),H1726,0)*VLOOKUP(D1726,'报价表-配送'!$B$40:$I$44,4,0)*1000+IF(AND(MOD(H1726,30)&lt;0.5,MOD(H1726,30)&gt;=0.02),H1726,0)*VLOOKUP(D1726,'报价表-配送'!$B$40:$I$44,3,0)*1000+IF(AND(MOD(H1726,30)&lt;0.02),H1726,0)*VLOOKUP(D1726,'报价表-配送'!$B$40:$I$44,2,0)*1000</f>
        <v>0</v>
      </c>
      <c r="N1726" s="38">
        <f t="shared" si="26"/>
        <v>0</v>
      </c>
    </row>
    <row r="1727" spans="1:15" x14ac:dyDescent="0.25">
      <c r="A1727" t="s">
        <v>79</v>
      </c>
      <c r="B1727" s="43" t="s">
        <v>168</v>
      </c>
      <c r="C1727" s="62">
        <f>VLOOKUP(B1727,合并仓明细!$D$2:$F$74,3,0)</f>
        <v>216</v>
      </c>
      <c r="D1727" s="44" t="s">
        <v>414</v>
      </c>
      <c r="E1727" s="43" t="s">
        <v>290</v>
      </c>
      <c r="F1727" t="s">
        <v>67</v>
      </c>
      <c r="G1727" s="42">
        <v>658.8</v>
      </c>
      <c r="H1727">
        <v>0.73717999999999995</v>
      </c>
      <c r="I1727" s="38">
        <f>IF(H1727&gt;30,QUOTIENT(H1727,30)*VLOOKUP(D1727,'报价表-配送'!$B$40:$I$44,8,0),0)+IF(AND(MOD(H1727,30)&gt;18,MOD(H1727,30)&lt;=30),1,0)*VLOOKUP(D1727,'报价表-配送'!$B$40:$I$44,8,0)</f>
        <v>0</v>
      </c>
      <c r="J1727" s="38">
        <f>IF(AND(MOD(H1727,30)&gt;8,MOD(H1727,30)&lt;=18),1*VLOOKUP(D1727,'报价表-配送'!$B$40:$I$44,7,0),0)</f>
        <v>0</v>
      </c>
      <c r="K1727" s="38">
        <f>IF(AND(MOD(H1727,30)&lt;=8,MOD(H1727,30)&gt;0),1,0)*VLOOKUP(D1727,'报价表-配送'!$B$40:$I$44,6,0)</f>
        <v>0</v>
      </c>
      <c r="L1727" s="37"/>
      <c r="M1727" s="37"/>
      <c r="N1727" s="38">
        <f t="shared" si="26"/>
        <v>0</v>
      </c>
    </row>
    <row r="1728" spans="1:15" x14ac:dyDescent="0.25">
      <c r="A1728" t="s">
        <v>79</v>
      </c>
      <c r="B1728" s="43" t="s">
        <v>168</v>
      </c>
      <c r="C1728" s="62">
        <f>VLOOKUP(B1728,合并仓明细!$D$2:$F$74,3,0)</f>
        <v>216</v>
      </c>
      <c r="D1728" s="44" t="s">
        <v>414</v>
      </c>
      <c r="E1728" s="43" t="s">
        <v>290</v>
      </c>
      <c r="F1728" t="s">
        <v>66</v>
      </c>
      <c r="G1728" s="42">
        <v>78.38</v>
      </c>
      <c r="H1728"/>
      <c r="K1728" s="1"/>
      <c r="L1728" s="33"/>
      <c r="M1728" s="1"/>
      <c r="N1728" s="38">
        <f t="shared" si="26"/>
        <v>0</v>
      </c>
    </row>
    <row r="1729" spans="1:14" x14ac:dyDescent="0.25">
      <c r="A1729" t="s">
        <v>79</v>
      </c>
      <c r="B1729" s="43" t="s">
        <v>168</v>
      </c>
      <c r="C1729" s="62">
        <f>VLOOKUP(B1729,合并仓明细!$D$2:$F$74,3,0)</f>
        <v>216</v>
      </c>
      <c r="D1729" s="44" t="s">
        <v>414</v>
      </c>
      <c r="E1729" s="43" t="s">
        <v>340</v>
      </c>
      <c r="F1729" t="s">
        <v>66</v>
      </c>
      <c r="G1729" s="42">
        <v>25.2</v>
      </c>
      <c r="H1729">
        <v>2.52E-2</v>
      </c>
      <c r="I1729" s="46"/>
      <c r="J1729" s="38"/>
      <c r="K1729" s="38"/>
      <c r="L1729" s="37">
        <f>IF(H1729&gt;30,QUOTIENT(H1729,30)*VLOOKUP(D1729,'报价表-配送'!$B$40:$I$44,8,0),0)+IF(AND(MOD(H1729,30)&gt;18,MOD(H1729,30)&lt;=30),1,0)*VLOOKUP(D1729,'报价表-配送'!$B$40:$I$44,8,0)+IF(AND(MOD(H1729,30)&gt;8,MOD(H1729,30)&lt;=18),1*VLOOKUP(D1729,'报价表-配送'!$B$40:$I$44,7,0),0)+IF(AND(MOD(H1729,30)&lt;=8,MOD(H1729,30)&gt;2.5),1,0)*VLOOKUP(D1729,'报价表-配送'!$B$40:$I$44,6,0)+IF(AND(MOD(H1729,30)&lt;=2.5,MOD(H1729,30)&gt;=1.5),1,0)*VLOOKUP(D1729,'报价表-配送'!$B$40:$I$44,5,0)</f>
        <v>0</v>
      </c>
      <c r="M1729" s="39">
        <f>IF(AND(MOD(H1729,30)&lt;1.5,MOD(H1729,30)&gt;=0.5),H1729,0)*VLOOKUP(D1729,'报价表-配送'!$B$40:$I$44,4,0)*1000+IF(AND(MOD(H1729,30)&lt;0.5,MOD(H1729,30)&gt;=0.02),H1729,0)*VLOOKUP(D1729,'报价表-配送'!$B$40:$I$44,3,0)*1000+IF(AND(MOD(H1729,30)&lt;0.02),H1729,0)*VLOOKUP(D1729,'报价表-配送'!$B$40:$I$44,2,0)*1000</f>
        <v>0</v>
      </c>
      <c r="N1729" s="38">
        <f t="shared" si="26"/>
        <v>0</v>
      </c>
    </row>
    <row r="1730" spans="1:14" x14ac:dyDescent="0.25">
      <c r="A1730" t="s">
        <v>79</v>
      </c>
      <c r="B1730" s="43" t="s">
        <v>168</v>
      </c>
      <c r="C1730" s="62">
        <f>VLOOKUP(B1730,合并仓明细!$D$2:$F$74,3,0)</f>
        <v>216</v>
      </c>
      <c r="D1730" s="44" t="s">
        <v>414</v>
      </c>
      <c r="E1730" s="43" t="s">
        <v>248</v>
      </c>
      <c r="F1730" t="s">
        <v>67</v>
      </c>
      <c r="G1730" s="42">
        <v>235.88</v>
      </c>
      <c r="H1730">
        <v>0.24928</v>
      </c>
      <c r="I1730" s="38">
        <f>IF(H1730&gt;30,QUOTIENT(H1730,30)*VLOOKUP(D1730,'报价表-配送'!$B$40:$I$44,8,0),0)+IF(AND(MOD(H1730,30)&gt;18,MOD(H1730,30)&lt;=30),1,0)*VLOOKUP(D1730,'报价表-配送'!$B$40:$I$44,8,0)</f>
        <v>0</v>
      </c>
      <c r="J1730" s="38">
        <f>IF(AND(MOD(H1730,30)&gt;8,MOD(H1730,30)&lt;=18),1*VLOOKUP(D1730,'报价表-配送'!$B$40:$I$44,7,0),0)</f>
        <v>0</v>
      </c>
      <c r="K1730" s="38">
        <f>IF(AND(MOD(H1730,30)&lt;=8,MOD(H1730,30)&gt;0),1,0)*VLOOKUP(D1730,'报价表-配送'!$B$40:$I$44,6,0)</f>
        <v>0</v>
      </c>
      <c r="L1730" s="33"/>
      <c r="M1730" s="1"/>
      <c r="N1730" s="38">
        <f t="shared" si="26"/>
        <v>0</v>
      </c>
    </row>
    <row r="1731" spans="1:14" x14ac:dyDescent="0.25">
      <c r="A1731" t="s">
        <v>79</v>
      </c>
      <c r="B1731" s="43" t="s">
        <v>168</v>
      </c>
      <c r="C1731" s="62">
        <f>VLOOKUP(B1731,合并仓明细!$D$2:$F$74,3,0)</f>
        <v>216</v>
      </c>
      <c r="D1731" s="44" t="s">
        <v>414</v>
      </c>
      <c r="E1731" s="43" t="s">
        <v>248</v>
      </c>
      <c r="F1731" t="s">
        <v>66</v>
      </c>
      <c r="G1731" s="42">
        <v>13.4</v>
      </c>
      <c r="H1731"/>
      <c r="I1731" s="46"/>
      <c r="J1731" s="38"/>
      <c r="K1731" s="38"/>
      <c r="L1731" s="37"/>
      <c r="M1731" s="38"/>
      <c r="N1731" s="38">
        <f t="shared" si="26"/>
        <v>0</v>
      </c>
    </row>
    <row r="1732" spans="1:14" x14ac:dyDescent="0.25">
      <c r="A1732" t="s">
        <v>79</v>
      </c>
      <c r="B1732" s="43" t="s">
        <v>168</v>
      </c>
      <c r="C1732" s="62">
        <f>VLOOKUP(B1732,合并仓明细!$D$2:$F$74,3,0)</f>
        <v>216</v>
      </c>
      <c r="D1732" s="44" t="s">
        <v>414</v>
      </c>
      <c r="E1732" s="43" t="s">
        <v>291</v>
      </c>
      <c r="F1732" t="s">
        <v>66</v>
      </c>
      <c r="G1732" s="42">
        <v>10.36</v>
      </c>
      <c r="H1732">
        <v>1.0359999999999999E-2</v>
      </c>
      <c r="K1732" s="1"/>
      <c r="L1732" s="37">
        <f>IF(H1732&gt;30,QUOTIENT(H1732,30)*VLOOKUP(D1732,'报价表-配送'!$B$40:$I$44,8,0),0)+IF(AND(MOD(H1732,30)&gt;18,MOD(H1732,30)&lt;=30),1,0)*VLOOKUP(D1732,'报价表-配送'!$B$40:$I$44,8,0)+IF(AND(MOD(H1732,30)&gt;8,MOD(H1732,30)&lt;=18),1*VLOOKUP(D1732,'报价表-配送'!$B$40:$I$44,7,0),0)+IF(AND(MOD(H1732,30)&lt;=8,MOD(H1732,30)&gt;2.5),1,0)*VLOOKUP(D1732,'报价表-配送'!$B$40:$I$44,6,0)+IF(AND(MOD(H1732,30)&lt;=2.5,MOD(H1732,30)&gt;=1.5),1,0)*VLOOKUP(D1732,'报价表-配送'!$B$40:$I$44,5,0)</f>
        <v>0</v>
      </c>
      <c r="M1732" s="39">
        <f>IF(AND(MOD(H1732,30)&lt;1.5,MOD(H1732,30)&gt;=0.5),H1732,0)*VLOOKUP(D1732,'报价表-配送'!$B$40:$I$44,4,0)*1000+IF(AND(MOD(H1732,30)&lt;0.5,MOD(H1732,30)&gt;=0.02),H1732,0)*VLOOKUP(D1732,'报价表-配送'!$B$40:$I$44,3,0)*1000+IF(AND(MOD(H1732,30)&lt;0.02),H1732,0)*VLOOKUP(D1732,'报价表-配送'!$B$40:$I$44,2,0)*1000</f>
        <v>0</v>
      </c>
      <c r="N1732" s="38">
        <f t="shared" si="26"/>
        <v>0</v>
      </c>
    </row>
    <row r="1733" spans="1:14" x14ac:dyDescent="0.25">
      <c r="A1733" t="s">
        <v>79</v>
      </c>
      <c r="B1733" s="43" t="s">
        <v>168</v>
      </c>
      <c r="C1733" s="62">
        <f>VLOOKUP(B1733,合并仓明细!$D$2:$F$74,3,0)</f>
        <v>216</v>
      </c>
      <c r="D1733" s="44" t="s">
        <v>414</v>
      </c>
      <c r="E1733" s="43" t="s">
        <v>292</v>
      </c>
      <c r="F1733" t="s">
        <v>66</v>
      </c>
      <c r="G1733" s="42">
        <v>34.79</v>
      </c>
      <c r="H1733">
        <v>3.4790000000000001E-2</v>
      </c>
      <c r="K1733" s="1"/>
      <c r="L1733" s="37">
        <f>IF(H1733&gt;30,QUOTIENT(H1733,30)*VLOOKUP(D1733,'报价表-配送'!$B$40:$I$44,8,0),0)+IF(AND(MOD(H1733,30)&gt;18,MOD(H1733,30)&lt;=30),1,0)*VLOOKUP(D1733,'报价表-配送'!$B$40:$I$44,8,0)+IF(AND(MOD(H1733,30)&gt;8,MOD(H1733,30)&lt;=18),1*VLOOKUP(D1733,'报价表-配送'!$B$40:$I$44,7,0),0)+IF(AND(MOD(H1733,30)&lt;=8,MOD(H1733,30)&gt;2.5),1,0)*VLOOKUP(D1733,'报价表-配送'!$B$40:$I$44,6,0)+IF(AND(MOD(H1733,30)&lt;=2.5,MOD(H1733,30)&gt;=1.5),1,0)*VLOOKUP(D1733,'报价表-配送'!$B$40:$I$44,5,0)</f>
        <v>0</v>
      </c>
      <c r="M1733" s="39">
        <f>IF(AND(MOD(H1733,30)&lt;1.5,MOD(H1733,30)&gt;=0.5),H1733,0)*VLOOKUP(D1733,'报价表-配送'!$B$40:$I$44,4,0)*1000+IF(AND(MOD(H1733,30)&lt;0.5,MOD(H1733,30)&gt;=0.02),H1733,0)*VLOOKUP(D1733,'报价表-配送'!$B$40:$I$44,3,0)*1000+IF(AND(MOD(H1733,30)&lt;0.02),H1733,0)*VLOOKUP(D1733,'报价表-配送'!$B$40:$I$44,2,0)*1000</f>
        <v>0</v>
      </c>
      <c r="N1733" s="38">
        <f t="shared" si="26"/>
        <v>0</v>
      </c>
    </row>
    <row r="1734" spans="1:14" x14ac:dyDescent="0.25">
      <c r="A1734" t="s">
        <v>79</v>
      </c>
      <c r="B1734" s="45" t="s">
        <v>168</v>
      </c>
      <c r="C1734" s="62">
        <f>VLOOKUP(B1734,合并仓明细!$D$2:$F$74,3,0)</f>
        <v>216</v>
      </c>
      <c r="D1734" s="44" t="s">
        <v>414</v>
      </c>
      <c r="E1734" s="43" t="s">
        <v>359</v>
      </c>
      <c r="F1734" t="s">
        <v>66</v>
      </c>
      <c r="G1734" s="42">
        <v>2.8</v>
      </c>
      <c r="H1734">
        <v>2.8E-3</v>
      </c>
      <c r="K1734" s="1"/>
      <c r="L1734" s="37">
        <f>IF(H1734&gt;30,QUOTIENT(H1734,30)*VLOOKUP(D1734,'报价表-配送'!$B$40:$I$44,8,0),0)+IF(AND(MOD(H1734,30)&gt;18,MOD(H1734,30)&lt;=30),1,0)*VLOOKUP(D1734,'报价表-配送'!$B$40:$I$44,8,0)+IF(AND(MOD(H1734,30)&gt;8,MOD(H1734,30)&lt;=18),1*VLOOKUP(D1734,'报价表-配送'!$B$40:$I$44,7,0),0)+IF(AND(MOD(H1734,30)&lt;=8,MOD(H1734,30)&gt;2.5),1,0)*VLOOKUP(D1734,'报价表-配送'!$B$40:$I$44,6,0)+IF(AND(MOD(H1734,30)&lt;=2.5,MOD(H1734,30)&gt;=1.5),1,0)*VLOOKUP(D1734,'报价表-配送'!$B$40:$I$44,5,0)</f>
        <v>0</v>
      </c>
      <c r="M1734" s="39">
        <f>IF(AND(MOD(H1734,30)&lt;1.5,MOD(H1734,30)&gt;=0.5),H1734,0)*VLOOKUP(D1734,'报价表-配送'!$B$40:$I$44,4,0)*1000+IF(AND(MOD(H1734,30)&lt;0.5,MOD(H1734,30)&gt;=0.02),H1734,0)*VLOOKUP(D1734,'报价表-配送'!$B$40:$I$44,3,0)*1000+IF(AND(MOD(H1734,30)&lt;0.02),H1734,0)*VLOOKUP(D1734,'报价表-配送'!$B$40:$I$44,2,0)*1000</f>
        <v>0</v>
      </c>
      <c r="N1734" s="38">
        <f t="shared" si="26"/>
        <v>0</v>
      </c>
    </row>
    <row r="1735" spans="1:14" x14ac:dyDescent="0.25">
      <c r="A1735" t="s">
        <v>79</v>
      </c>
      <c r="B1735" s="44" t="s">
        <v>168</v>
      </c>
      <c r="C1735" s="62">
        <f>VLOOKUP(B1735,合并仓明细!$D$2:$F$74,3,0)</f>
        <v>216</v>
      </c>
      <c r="D1735" s="44" t="s">
        <v>414</v>
      </c>
      <c r="E1735" s="43" t="s">
        <v>295</v>
      </c>
      <c r="F1735" t="s">
        <v>68</v>
      </c>
      <c r="G1735" s="42">
        <v>358.90999999999997</v>
      </c>
      <c r="H1735">
        <v>5.1531100000000007</v>
      </c>
      <c r="I1735" s="46">
        <f>ROUNDUP(H1735/30,0)*VLOOKUP(D1735,'报价表-配送'!$B$40:$I$44,8,0)</f>
        <v>0</v>
      </c>
      <c r="J1735" s="38"/>
      <c r="K1735" s="38"/>
      <c r="L1735" s="37"/>
      <c r="M1735" s="38"/>
      <c r="N1735" s="38">
        <f t="shared" si="26"/>
        <v>0</v>
      </c>
    </row>
    <row r="1736" spans="1:14" x14ac:dyDescent="0.25">
      <c r="A1736" t="s">
        <v>79</v>
      </c>
      <c r="B1736" s="43" t="s">
        <v>168</v>
      </c>
      <c r="C1736" s="62">
        <f>VLOOKUP(B1736,合并仓明细!$D$2:$F$74,3,0)</f>
        <v>216</v>
      </c>
      <c r="D1736" s="44" t="s">
        <v>414</v>
      </c>
      <c r="E1736" s="43" t="s">
        <v>295</v>
      </c>
      <c r="F1736" t="s">
        <v>67</v>
      </c>
      <c r="G1736" s="42">
        <v>4002.6000000000004</v>
      </c>
      <c r="H1736"/>
      <c r="K1736" s="1"/>
      <c r="L1736" s="33"/>
      <c r="M1736" s="1"/>
      <c r="N1736" s="38">
        <f t="shared" si="26"/>
        <v>0</v>
      </c>
    </row>
    <row r="1737" spans="1:14" x14ac:dyDescent="0.25">
      <c r="A1737" t="s">
        <v>79</v>
      </c>
      <c r="B1737" s="43" t="s">
        <v>168</v>
      </c>
      <c r="C1737" s="62">
        <f>VLOOKUP(B1737,合并仓明细!$D$2:$F$74,3,0)</f>
        <v>216</v>
      </c>
      <c r="D1737" s="44" t="s">
        <v>414</v>
      </c>
      <c r="E1737" s="43" t="s">
        <v>295</v>
      </c>
      <c r="F1737" t="s">
        <v>66</v>
      </c>
      <c r="G1737" s="42">
        <v>791.60000000000014</v>
      </c>
      <c r="H1737"/>
      <c r="K1737" s="1"/>
      <c r="L1737" s="33"/>
      <c r="M1737" s="1"/>
      <c r="N1737" s="38">
        <f t="shared" si="26"/>
        <v>0</v>
      </c>
    </row>
    <row r="1738" spans="1:14" x14ac:dyDescent="0.25">
      <c r="A1738" t="s">
        <v>79</v>
      </c>
      <c r="B1738" s="43" t="s">
        <v>168</v>
      </c>
      <c r="C1738" s="62">
        <f>VLOOKUP(B1738,合并仓明细!$D$2:$F$74,3,0)</f>
        <v>216</v>
      </c>
      <c r="D1738" s="44" t="s">
        <v>414</v>
      </c>
      <c r="E1738" s="43" t="s">
        <v>298</v>
      </c>
      <c r="F1738" t="s">
        <v>66</v>
      </c>
      <c r="G1738" s="42">
        <v>450.69</v>
      </c>
      <c r="H1738">
        <v>0.45068999999999998</v>
      </c>
      <c r="I1738" s="46"/>
      <c r="J1738" s="38"/>
      <c r="K1738" s="38"/>
      <c r="L1738" s="37">
        <f>IF(H1738&gt;30,QUOTIENT(H1738,30)*VLOOKUP(D1738,'报价表-配送'!$B$40:$I$44,8,0),0)+IF(AND(MOD(H1738,30)&gt;18,MOD(H1738,30)&lt;=30),1,0)*VLOOKUP(D1738,'报价表-配送'!$B$40:$I$44,8,0)+IF(AND(MOD(H1738,30)&gt;8,MOD(H1738,30)&lt;=18),1*VLOOKUP(D1738,'报价表-配送'!$B$40:$I$44,7,0),0)+IF(AND(MOD(H1738,30)&lt;=8,MOD(H1738,30)&gt;2.5),1,0)*VLOOKUP(D1738,'报价表-配送'!$B$40:$I$44,6,0)+IF(AND(MOD(H1738,30)&lt;=2.5,MOD(H1738,30)&gt;=1.5),1,0)*VLOOKUP(D1738,'报价表-配送'!$B$40:$I$44,5,0)</f>
        <v>0</v>
      </c>
      <c r="M1738" s="39">
        <f>IF(AND(MOD(H1738,30)&lt;1.5,MOD(H1738,30)&gt;=0.5),H1738,0)*VLOOKUP(D1738,'报价表-配送'!$B$40:$I$44,4,0)*1000+IF(AND(MOD(H1738,30)&lt;0.5,MOD(H1738,30)&gt;=0.02),H1738,0)*VLOOKUP(D1738,'报价表-配送'!$B$40:$I$44,3,0)*1000+IF(AND(MOD(H1738,30)&lt;0.02),H1738,0)*VLOOKUP(D1738,'报价表-配送'!$B$40:$I$44,2,0)*1000</f>
        <v>0</v>
      </c>
      <c r="N1738" s="38">
        <f t="shared" si="26"/>
        <v>0</v>
      </c>
    </row>
    <row r="1739" spans="1:14" x14ac:dyDescent="0.25">
      <c r="A1739" t="s">
        <v>79</v>
      </c>
      <c r="B1739" s="43" t="s">
        <v>168</v>
      </c>
      <c r="C1739" s="62">
        <f>VLOOKUP(B1739,合并仓明细!$D$2:$F$74,3,0)</f>
        <v>216</v>
      </c>
      <c r="D1739" s="44" t="s">
        <v>414</v>
      </c>
      <c r="E1739" s="43" t="s">
        <v>250</v>
      </c>
      <c r="F1739" t="s">
        <v>66</v>
      </c>
      <c r="G1739" s="42">
        <v>98.75</v>
      </c>
      <c r="H1739">
        <v>9.8750000000000004E-2</v>
      </c>
      <c r="K1739" s="1"/>
      <c r="L1739" s="37">
        <f>IF(H1739&gt;30,QUOTIENT(H1739,30)*VLOOKUP(D1739,'报价表-配送'!$B$40:$I$44,8,0),0)+IF(AND(MOD(H1739,30)&gt;18,MOD(H1739,30)&lt;=30),1,0)*VLOOKUP(D1739,'报价表-配送'!$B$40:$I$44,8,0)+IF(AND(MOD(H1739,30)&gt;8,MOD(H1739,30)&lt;=18),1*VLOOKUP(D1739,'报价表-配送'!$B$40:$I$44,7,0),0)+IF(AND(MOD(H1739,30)&lt;=8,MOD(H1739,30)&gt;2.5),1,0)*VLOOKUP(D1739,'报价表-配送'!$B$40:$I$44,6,0)+IF(AND(MOD(H1739,30)&lt;=2.5,MOD(H1739,30)&gt;=1.5),1,0)*VLOOKUP(D1739,'报价表-配送'!$B$40:$I$44,5,0)</f>
        <v>0</v>
      </c>
      <c r="M1739" s="39">
        <f>IF(AND(MOD(H1739,30)&lt;1.5,MOD(H1739,30)&gt;=0.5),H1739,0)*VLOOKUP(D1739,'报价表-配送'!$B$40:$I$44,4,0)*1000+IF(AND(MOD(H1739,30)&lt;0.5,MOD(H1739,30)&gt;=0.02),H1739,0)*VLOOKUP(D1739,'报价表-配送'!$B$40:$I$44,3,0)*1000+IF(AND(MOD(H1739,30)&lt;0.02),H1739,0)*VLOOKUP(D1739,'报价表-配送'!$B$40:$I$44,2,0)*1000</f>
        <v>0</v>
      </c>
      <c r="N1739" s="38">
        <f t="shared" si="26"/>
        <v>0</v>
      </c>
    </row>
    <row r="1740" spans="1:14" x14ac:dyDescent="0.25">
      <c r="A1740" t="s">
        <v>79</v>
      </c>
      <c r="B1740" s="43" t="s">
        <v>168</v>
      </c>
      <c r="C1740" s="62">
        <f>VLOOKUP(B1740,合并仓明细!$D$2:$F$74,3,0)</f>
        <v>216</v>
      </c>
      <c r="D1740" s="44" t="s">
        <v>414</v>
      </c>
      <c r="E1740" s="43" t="s">
        <v>318</v>
      </c>
      <c r="F1740" t="s">
        <v>67</v>
      </c>
      <c r="G1740" s="42">
        <v>349.18</v>
      </c>
      <c r="H1740">
        <v>1.9901500000000001</v>
      </c>
      <c r="I1740" s="38">
        <f>IF(H1740&gt;30,QUOTIENT(H1740,30)*VLOOKUP(D1740,'报价表-配送'!$B$40:$I$44,8,0),0)+IF(AND(MOD(H1740,30)&gt;18,MOD(H1740,30)&lt;=30),1,0)*VLOOKUP(D1740,'报价表-配送'!$B$40:$I$44,8,0)</f>
        <v>0</v>
      </c>
      <c r="J1740" s="38">
        <f>IF(AND(MOD(H1740,30)&gt;8,MOD(H1740,30)&lt;=18),1*VLOOKUP(D1740,'报价表-配送'!$B$40:$I$44,7,0),0)</f>
        <v>0</v>
      </c>
      <c r="K1740" s="38">
        <f>IF(AND(MOD(H1740,30)&lt;=8,MOD(H1740,30)&gt;0),1,0)*VLOOKUP(D1740,'报价表-配送'!$B$40:$I$44,6,0)</f>
        <v>0</v>
      </c>
      <c r="L1740" s="33"/>
      <c r="M1740" s="1"/>
      <c r="N1740" s="38">
        <f t="shared" si="26"/>
        <v>0</v>
      </c>
    </row>
    <row r="1741" spans="1:14" x14ac:dyDescent="0.25">
      <c r="A1741" t="s">
        <v>79</v>
      </c>
      <c r="B1741" s="43" t="s">
        <v>168</v>
      </c>
      <c r="C1741" s="62">
        <f>VLOOKUP(B1741,合并仓明细!$D$2:$F$74,3,0)</f>
        <v>216</v>
      </c>
      <c r="D1741" s="44" t="s">
        <v>414</v>
      </c>
      <c r="E1741" s="43" t="s">
        <v>318</v>
      </c>
      <c r="F1741" t="s">
        <v>66</v>
      </c>
      <c r="G1741" s="42">
        <v>1640.97</v>
      </c>
      <c r="H1741"/>
      <c r="I1741" s="46"/>
      <c r="J1741" s="38"/>
      <c r="K1741" s="38"/>
      <c r="L1741" s="37"/>
      <c r="M1741" s="38"/>
      <c r="N1741" s="38">
        <f t="shared" si="26"/>
        <v>0</v>
      </c>
    </row>
    <row r="1742" spans="1:14" x14ac:dyDescent="0.25">
      <c r="A1742" t="s">
        <v>79</v>
      </c>
      <c r="B1742" s="43" t="s">
        <v>168</v>
      </c>
      <c r="C1742" s="62">
        <f>VLOOKUP(B1742,合并仓明细!$D$2:$F$74,3,0)</f>
        <v>216</v>
      </c>
      <c r="D1742" s="44" t="s">
        <v>414</v>
      </c>
      <c r="E1742" s="43" t="s">
        <v>299</v>
      </c>
      <c r="F1742" t="s">
        <v>68</v>
      </c>
      <c r="G1742" s="42">
        <v>576.04999999999995</v>
      </c>
      <c r="H1742">
        <v>1.9143000000000001</v>
      </c>
      <c r="I1742" s="46">
        <f>ROUNDUP(H1742/30,0)*VLOOKUP(D1742,'报价表-配送'!$B$40:$I$44,8,0)</f>
        <v>0</v>
      </c>
      <c r="K1742" s="1"/>
      <c r="L1742" s="33"/>
      <c r="M1742" s="1"/>
      <c r="N1742" s="38">
        <f t="shared" si="26"/>
        <v>0</v>
      </c>
    </row>
    <row r="1743" spans="1:14" x14ac:dyDescent="0.25">
      <c r="A1743" t="s">
        <v>79</v>
      </c>
      <c r="B1743" s="43" t="s">
        <v>168</v>
      </c>
      <c r="C1743" s="62">
        <f>VLOOKUP(B1743,合并仓明细!$D$2:$F$74,3,0)</f>
        <v>216</v>
      </c>
      <c r="D1743" s="44" t="s">
        <v>414</v>
      </c>
      <c r="E1743" s="43" t="s">
        <v>299</v>
      </c>
      <c r="F1743" t="s">
        <v>67</v>
      </c>
      <c r="G1743" s="42">
        <v>336.41</v>
      </c>
      <c r="H1743"/>
      <c r="K1743" s="1"/>
      <c r="L1743" s="33"/>
      <c r="M1743" s="1"/>
      <c r="N1743" s="38">
        <f t="shared" si="26"/>
        <v>0</v>
      </c>
    </row>
    <row r="1744" spans="1:14" x14ac:dyDescent="0.25">
      <c r="A1744" t="s">
        <v>79</v>
      </c>
      <c r="B1744" s="43" t="s">
        <v>168</v>
      </c>
      <c r="C1744" s="62">
        <f>VLOOKUP(B1744,合并仓明细!$D$2:$F$74,3,0)</f>
        <v>216</v>
      </c>
      <c r="D1744" s="44" t="s">
        <v>414</v>
      </c>
      <c r="E1744" s="43" t="s">
        <v>299</v>
      </c>
      <c r="F1744" t="s">
        <v>66</v>
      </c>
      <c r="G1744" s="42">
        <v>1001.84</v>
      </c>
      <c r="H1744"/>
      <c r="I1744" s="46"/>
      <c r="J1744" s="38"/>
      <c r="K1744" s="38"/>
      <c r="L1744" s="37"/>
      <c r="M1744" s="38"/>
      <c r="N1744" s="38">
        <f t="shared" si="26"/>
        <v>0</v>
      </c>
    </row>
    <row r="1745" spans="1:14" x14ac:dyDescent="0.25">
      <c r="A1745" t="s">
        <v>79</v>
      </c>
      <c r="B1745" s="43" t="s">
        <v>168</v>
      </c>
      <c r="C1745" s="62">
        <f>VLOOKUP(B1745,合并仓明细!$D$2:$F$74,3,0)</f>
        <v>216</v>
      </c>
      <c r="D1745" s="44" t="s">
        <v>414</v>
      </c>
      <c r="E1745" s="43" t="s">
        <v>343</v>
      </c>
      <c r="F1745" t="s">
        <v>67</v>
      </c>
      <c r="G1745" s="42">
        <v>4491.1499999999996</v>
      </c>
      <c r="H1745">
        <v>4.4911499999999993</v>
      </c>
      <c r="I1745" s="38">
        <f>IF(H1745&gt;30,QUOTIENT(H1745,30)*VLOOKUP(D1745,'报价表-配送'!$B$40:$I$44,8,0),0)+IF(AND(MOD(H1745,30)&gt;18,MOD(H1745,30)&lt;=30),1,0)*VLOOKUP(D1745,'报价表-配送'!$B$40:$I$44,8,0)</f>
        <v>0</v>
      </c>
      <c r="J1745" s="38">
        <f>IF(AND(MOD(H1745,30)&gt;8,MOD(H1745,30)&lt;=18),1*VLOOKUP(D1745,'报价表-配送'!$B$40:$I$44,7,0),0)</f>
        <v>0</v>
      </c>
      <c r="K1745" s="38">
        <f>IF(AND(MOD(H1745,30)&lt;=8,MOD(H1745,30)&gt;0),1,0)*VLOOKUP(D1745,'报价表-配送'!$B$40:$I$44,6,0)</f>
        <v>0</v>
      </c>
      <c r="L1745" s="33"/>
      <c r="M1745" s="1"/>
      <c r="N1745" s="38">
        <f t="shared" si="26"/>
        <v>0</v>
      </c>
    </row>
    <row r="1746" spans="1:14" x14ac:dyDescent="0.25">
      <c r="A1746" t="s">
        <v>79</v>
      </c>
      <c r="B1746" s="43" t="s">
        <v>168</v>
      </c>
      <c r="C1746" s="62">
        <f>VLOOKUP(B1746,合并仓明细!$D$2:$F$74,3,0)</f>
        <v>216</v>
      </c>
      <c r="D1746" s="44" t="s">
        <v>414</v>
      </c>
      <c r="E1746" s="43" t="s">
        <v>360</v>
      </c>
      <c r="F1746" t="s">
        <v>66</v>
      </c>
      <c r="G1746" s="42">
        <v>615</v>
      </c>
      <c r="H1746">
        <v>0.61499999999999999</v>
      </c>
      <c r="K1746" s="1"/>
      <c r="L1746" s="37">
        <f>IF(H1746&gt;30,QUOTIENT(H1746,30)*VLOOKUP(D1746,'报价表-配送'!$B$40:$I$44,8,0),0)+IF(AND(MOD(H1746,30)&gt;18,MOD(H1746,30)&lt;=30),1,0)*VLOOKUP(D1746,'报价表-配送'!$B$40:$I$44,8,0)+IF(AND(MOD(H1746,30)&gt;8,MOD(H1746,30)&lt;=18),1*VLOOKUP(D1746,'报价表-配送'!$B$40:$I$44,7,0),0)+IF(AND(MOD(H1746,30)&lt;=8,MOD(H1746,30)&gt;2.5),1,0)*VLOOKUP(D1746,'报价表-配送'!$B$40:$I$44,6,0)+IF(AND(MOD(H1746,30)&lt;=2.5,MOD(H1746,30)&gt;=1.5),1,0)*VLOOKUP(D1746,'报价表-配送'!$B$40:$I$44,5,0)</f>
        <v>0</v>
      </c>
      <c r="M1746" s="39">
        <f>IF(AND(MOD(H1746,30)&lt;1.5,MOD(H1746,30)&gt;=0.5),H1746,0)*VLOOKUP(D1746,'报价表-配送'!$B$40:$I$44,4,0)*1000+IF(AND(MOD(H1746,30)&lt;0.5,MOD(H1746,30)&gt;=0.02),H1746,0)*VLOOKUP(D1746,'报价表-配送'!$B$40:$I$44,3,0)*1000+IF(AND(MOD(H1746,30)&lt;0.02),H1746,0)*VLOOKUP(D1746,'报价表-配送'!$B$40:$I$44,2,0)*1000</f>
        <v>0</v>
      </c>
      <c r="N1746" s="38">
        <f t="shared" si="26"/>
        <v>0</v>
      </c>
    </row>
    <row r="1747" spans="1:14" x14ac:dyDescent="0.25">
      <c r="A1747" t="s">
        <v>79</v>
      </c>
      <c r="B1747" s="43" t="s">
        <v>168</v>
      </c>
      <c r="C1747" s="62">
        <f>VLOOKUP(B1747,合并仓明细!$D$2:$F$74,3,0)</f>
        <v>216</v>
      </c>
      <c r="D1747" s="44" t="s">
        <v>414</v>
      </c>
      <c r="E1747" s="43" t="s">
        <v>320</v>
      </c>
      <c r="F1747" t="s">
        <v>67</v>
      </c>
      <c r="G1747" s="42">
        <v>265.57</v>
      </c>
      <c r="H1747">
        <v>0.26556999999999997</v>
      </c>
      <c r="I1747" s="38">
        <f>IF(H1747&gt;30,QUOTIENT(H1747,30)*VLOOKUP(D1747,'报价表-配送'!$B$40:$I$44,8,0),0)+IF(AND(MOD(H1747,30)&gt;18,MOD(H1747,30)&lt;=30),1,0)*VLOOKUP(D1747,'报价表-配送'!$B$40:$I$44,8,0)</f>
        <v>0</v>
      </c>
      <c r="J1747" s="38">
        <f>IF(AND(MOD(H1747,30)&gt;8,MOD(H1747,30)&lt;=18),1*VLOOKUP(D1747,'报价表-配送'!$B$40:$I$44,7,0),0)</f>
        <v>0</v>
      </c>
      <c r="K1747" s="38">
        <f>IF(AND(MOD(H1747,30)&lt;=8,MOD(H1747,30)&gt;0),1,0)*VLOOKUP(D1747,'报价表-配送'!$B$40:$I$44,6,0)</f>
        <v>0</v>
      </c>
      <c r="L1747" s="37"/>
      <c r="M1747" s="38"/>
      <c r="N1747" s="38">
        <f t="shared" si="26"/>
        <v>0</v>
      </c>
    </row>
    <row r="1748" spans="1:14" x14ac:dyDescent="0.25">
      <c r="A1748" t="s">
        <v>79</v>
      </c>
      <c r="B1748" s="43" t="s">
        <v>168</v>
      </c>
      <c r="C1748" s="62">
        <f>VLOOKUP(B1748,合并仓明细!$D$2:$F$74,3,0)</f>
        <v>216</v>
      </c>
      <c r="D1748" s="44" t="s">
        <v>414</v>
      </c>
      <c r="E1748" s="43" t="s">
        <v>355</v>
      </c>
      <c r="F1748" t="s">
        <v>68</v>
      </c>
      <c r="G1748" s="42">
        <v>35.18</v>
      </c>
      <c r="H1748">
        <v>2.9671699999999994</v>
      </c>
      <c r="I1748" s="46">
        <f>ROUNDUP(H1748/30,0)*VLOOKUP(D1748,'报价表-配送'!$B$40:$I$44,8,0)</f>
        <v>0</v>
      </c>
      <c r="K1748" s="1"/>
      <c r="L1748" s="33"/>
      <c r="M1748" s="1"/>
      <c r="N1748" s="38">
        <f t="shared" si="26"/>
        <v>0</v>
      </c>
    </row>
    <row r="1749" spans="1:14" x14ac:dyDescent="0.25">
      <c r="A1749" t="s">
        <v>79</v>
      </c>
      <c r="B1749" s="43" t="s">
        <v>168</v>
      </c>
      <c r="C1749" s="62">
        <f>VLOOKUP(B1749,合并仓明细!$D$2:$F$74,3,0)</f>
        <v>216</v>
      </c>
      <c r="D1749" s="44" t="s">
        <v>414</v>
      </c>
      <c r="E1749" s="43" t="s">
        <v>355</v>
      </c>
      <c r="F1749" t="s">
        <v>67</v>
      </c>
      <c r="G1749" s="42">
        <v>2636.83</v>
      </c>
      <c r="H1749"/>
      <c r="K1749" s="1"/>
      <c r="L1749" s="33"/>
      <c r="M1749" s="1"/>
      <c r="N1749" s="38">
        <f t="shared" si="26"/>
        <v>0</v>
      </c>
    </row>
    <row r="1750" spans="1:14" x14ac:dyDescent="0.25">
      <c r="A1750" t="s">
        <v>79</v>
      </c>
      <c r="B1750" s="43" t="s">
        <v>168</v>
      </c>
      <c r="C1750" s="62">
        <f>VLOOKUP(B1750,合并仓明细!$D$2:$F$74,3,0)</f>
        <v>216</v>
      </c>
      <c r="D1750" s="44" t="s">
        <v>414</v>
      </c>
      <c r="E1750" s="43" t="s">
        <v>355</v>
      </c>
      <c r="F1750" t="s">
        <v>66</v>
      </c>
      <c r="G1750" s="42">
        <v>295.15999999999997</v>
      </c>
      <c r="H1750"/>
      <c r="I1750" s="46"/>
      <c r="J1750" s="38"/>
      <c r="K1750" s="38"/>
      <c r="L1750" s="37"/>
      <c r="M1750" s="38"/>
      <c r="N1750" s="38">
        <f t="shared" si="26"/>
        <v>0</v>
      </c>
    </row>
    <row r="1751" spans="1:14" x14ac:dyDescent="0.25">
      <c r="A1751" t="s">
        <v>79</v>
      </c>
      <c r="B1751" s="43" t="s">
        <v>168</v>
      </c>
      <c r="C1751" s="62">
        <f>VLOOKUP(B1751,合并仓明细!$D$2:$F$74,3,0)</f>
        <v>216</v>
      </c>
      <c r="D1751" s="44" t="s">
        <v>414</v>
      </c>
      <c r="E1751" s="43" t="s">
        <v>303</v>
      </c>
      <c r="F1751" t="s">
        <v>68</v>
      </c>
      <c r="G1751" s="42">
        <v>70.37</v>
      </c>
      <c r="H1751">
        <v>8.0731099999999998</v>
      </c>
      <c r="I1751" s="46">
        <f>ROUNDUP(H1751/30,0)*VLOOKUP(D1751,'报价表-配送'!$B$40:$I$44,8,0)</f>
        <v>0</v>
      </c>
      <c r="K1751" s="1"/>
      <c r="L1751" s="33"/>
      <c r="M1751" s="1"/>
      <c r="N1751" s="38">
        <f t="shared" si="26"/>
        <v>0</v>
      </c>
    </row>
    <row r="1752" spans="1:14" x14ac:dyDescent="0.25">
      <c r="A1752" t="s">
        <v>79</v>
      </c>
      <c r="B1752" s="43" t="s">
        <v>168</v>
      </c>
      <c r="C1752" s="62">
        <f>VLOOKUP(B1752,合并仓明细!$D$2:$F$74,3,0)</f>
        <v>216</v>
      </c>
      <c r="D1752" s="44" t="s">
        <v>414</v>
      </c>
      <c r="E1752" s="43" t="s">
        <v>303</v>
      </c>
      <c r="F1752" t="s">
        <v>67</v>
      </c>
      <c r="G1752" s="42">
        <v>7558.63</v>
      </c>
      <c r="H1752"/>
      <c r="K1752" s="1"/>
      <c r="L1752" s="33"/>
      <c r="M1752" s="1"/>
      <c r="N1752" s="38">
        <f t="shared" si="26"/>
        <v>0</v>
      </c>
    </row>
    <row r="1753" spans="1:14" x14ac:dyDescent="0.25">
      <c r="A1753" t="s">
        <v>79</v>
      </c>
      <c r="B1753" s="43" t="s">
        <v>168</v>
      </c>
      <c r="C1753" s="62">
        <f>VLOOKUP(B1753,合并仓明细!$D$2:$F$74,3,0)</f>
        <v>216</v>
      </c>
      <c r="D1753" s="44" t="s">
        <v>414</v>
      </c>
      <c r="E1753" s="43" t="s">
        <v>303</v>
      </c>
      <c r="F1753" t="s">
        <v>66</v>
      </c>
      <c r="G1753" s="42">
        <v>444.10999999999996</v>
      </c>
      <c r="H1753"/>
      <c r="I1753" s="46"/>
      <c r="J1753" s="38"/>
      <c r="K1753" s="38"/>
      <c r="L1753" s="37"/>
      <c r="M1753" s="38"/>
      <c r="N1753" s="38">
        <f t="shared" si="26"/>
        <v>0</v>
      </c>
    </row>
    <row r="1754" spans="1:14" x14ac:dyDescent="0.25">
      <c r="A1754" t="s">
        <v>79</v>
      </c>
      <c r="B1754" s="43" t="s">
        <v>168</v>
      </c>
      <c r="C1754" s="62">
        <f>VLOOKUP(B1754,合并仓明细!$D$2:$F$74,3,0)</f>
        <v>216</v>
      </c>
      <c r="D1754" s="44" t="s">
        <v>414</v>
      </c>
      <c r="E1754" s="43" t="s">
        <v>365</v>
      </c>
      <c r="F1754" t="s">
        <v>67</v>
      </c>
      <c r="G1754" s="42">
        <v>560.34</v>
      </c>
      <c r="H1754">
        <v>0.74199999999999999</v>
      </c>
      <c r="I1754" s="38">
        <f>IF(H1754&gt;30,QUOTIENT(H1754,30)*VLOOKUP(D1754,'报价表-配送'!$B$40:$I$44,8,0),0)+IF(AND(MOD(H1754,30)&gt;18,MOD(H1754,30)&lt;=30),1,0)*VLOOKUP(D1754,'报价表-配送'!$B$40:$I$44,8,0)</f>
        <v>0</v>
      </c>
      <c r="J1754" s="38">
        <f>IF(AND(MOD(H1754,30)&gt;8,MOD(H1754,30)&lt;=18),1*VLOOKUP(D1754,'报价表-配送'!$B$40:$I$44,7,0),0)</f>
        <v>0</v>
      </c>
      <c r="K1754" s="38">
        <f>IF(AND(MOD(H1754,30)&lt;=8,MOD(H1754,30)&gt;0),1,0)*VLOOKUP(D1754,'报价表-配送'!$B$40:$I$44,6,0)</f>
        <v>0</v>
      </c>
      <c r="L1754" s="33"/>
      <c r="M1754" s="1"/>
      <c r="N1754" s="38">
        <f t="shared" si="26"/>
        <v>0</v>
      </c>
    </row>
    <row r="1755" spans="1:14" x14ac:dyDescent="0.25">
      <c r="A1755" t="s">
        <v>79</v>
      </c>
      <c r="B1755" s="43" t="s">
        <v>168</v>
      </c>
      <c r="C1755" s="62">
        <f>VLOOKUP(B1755,合并仓明细!$D$2:$F$74,3,0)</f>
        <v>216</v>
      </c>
      <c r="D1755" s="44" t="s">
        <v>414</v>
      </c>
      <c r="E1755" s="43" t="s">
        <v>365</v>
      </c>
      <c r="F1755" t="s">
        <v>66</v>
      </c>
      <c r="G1755" s="42">
        <v>181.66</v>
      </c>
      <c r="H1755"/>
      <c r="K1755" s="1"/>
      <c r="L1755" s="33"/>
      <c r="M1755" s="1"/>
      <c r="N1755" s="38">
        <f t="shared" si="26"/>
        <v>0</v>
      </c>
    </row>
    <row r="1756" spans="1:14" x14ac:dyDescent="0.25">
      <c r="A1756" t="s">
        <v>79</v>
      </c>
      <c r="B1756" s="43" t="s">
        <v>168</v>
      </c>
      <c r="C1756" s="62">
        <f>VLOOKUP(B1756,合并仓明细!$D$2:$F$74,3,0)</f>
        <v>216</v>
      </c>
      <c r="D1756" s="44" t="s">
        <v>414</v>
      </c>
      <c r="E1756" s="43" t="s">
        <v>253</v>
      </c>
      <c r="F1756" t="s">
        <v>66</v>
      </c>
      <c r="G1756" s="42">
        <v>29.37</v>
      </c>
      <c r="H1756">
        <v>2.937E-2</v>
      </c>
      <c r="I1756" s="46"/>
      <c r="J1756" s="38"/>
      <c r="K1756" s="38"/>
      <c r="L1756" s="37">
        <f>IF(H1756&gt;30,QUOTIENT(H1756,30)*VLOOKUP(D1756,'报价表-配送'!$B$40:$I$44,8,0),0)+IF(AND(MOD(H1756,30)&gt;18,MOD(H1756,30)&lt;=30),1,0)*VLOOKUP(D1756,'报价表-配送'!$B$40:$I$44,8,0)+IF(AND(MOD(H1756,30)&gt;8,MOD(H1756,30)&lt;=18),1*VLOOKUP(D1756,'报价表-配送'!$B$40:$I$44,7,0),0)+IF(AND(MOD(H1756,30)&lt;=8,MOD(H1756,30)&gt;2.5),1,0)*VLOOKUP(D1756,'报价表-配送'!$B$40:$I$44,6,0)+IF(AND(MOD(H1756,30)&lt;=2.5,MOD(H1756,30)&gt;=1.5),1,0)*VLOOKUP(D1756,'报价表-配送'!$B$40:$I$44,5,0)</f>
        <v>0</v>
      </c>
      <c r="M1756" s="39">
        <f>IF(AND(MOD(H1756,30)&lt;1.5,MOD(H1756,30)&gt;=0.5),H1756,0)*VLOOKUP(D1756,'报价表-配送'!$B$40:$I$44,4,0)*1000+IF(AND(MOD(H1756,30)&lt;0.5,MOD(H1756,30)&gt;=0.02),H1756,0)*VLOOKUP(D1756,'报价表-配送'!$B$40:$I$44,3,0)*1000+IF(AND(MOD(H1756,30)&lt;0.02),H1756,0)*VLOOKUP(D1756,'报价表-配送'!$B$40:$I$44,2,0)*1000</f>
        <v>0</v>
      </c>
      <c r="N1756" s="38">
        <f t="shared" si="26"/>
        <v>0</v>
      </c>
    </row>
    <row r="1757" spans="1:14" x14ac:dyDescent="0.25">
      <c r="A1757" t="s">
        <v>79</v>
      </c>
      <c r="B1757" s="43" t="s">
        <v>168</v>
      </c>
      <c r="C1757" s="62">
        <f>VLOOKUP(B1757,合并仓明细!$D$2:$F$74,3,0)</f>
        <v>216</v>
      </c>
      <c r="D1757" s="44" t="s">
        <v>414</v>
      </c>
      <c r="E1757" s="43" t="s">
        <v>356</v>
      </c>
      <c r="F1757" t="s">
        <v>66</v>
      </c>
      <c r="G1757" s="42">
        <v>39.06</v>
      </c>
      <c r="H1757">
        <v>3.9060000000000004E-2</v>
      </c>
      <c r="K1757" s="1"/>
      <c r="L1757" s="37">
        <f>IF(H1757&gt;30,QUOTIENT(H1757,30)*VLOOKUP(D1757,'报价表-配送'!$B$40:$I$44,8,0),0)+IF(AND(MOD(H1757,30)&gt;18,MOD(H1757,30)&lt;=30),1,0)*VLOOKUP(D1757,'报价表-配送'!$B$40:$I$44,8,0)+IF(AND(MOD(H1757,30)&gt;8,MOD(H1757,30)&lt;=18),1*VLOOKUP(D1757,'报价表-配送'!$B$40:$I$44,7,0),0)+IF(AND(MOD(H1757,30)&lt;=8,MOD(H1757,30)&gt;2.5),1,0)*VLOOKUP(D1757,'报价表-配送'!$B$40:$I$44,6,0)+IF(AND(MOD(H1757,30)&lt;=2.5,MOD(H1757,30)&gt;=1.5),1,0)*VLOOKUP(D1757,'报价表-配送'!$B$40:$I$44,5,0)</f>
        <v>0</v>
      </c>
      <c r="M1757" s="39">
        <f>IF(AND(MOD(H1757,30)&lt;1.5,MOD(H1757,30)&gt;=0.5),H1757,0)*VLOOKUP(D1757,'报价表-配送'!$B$40:$I$44,4,0)*1000+IF(AND(MOD(H1757,30)&lt;0.5,MOD(H1757,30)&gt;=0.02),H1757,0)*VLOOKUP(D1757,'报价表-配送'!$B$40:$I$44,3,0)*1000+IF(AND(MOD(H1757,30)&lt;0.02),H1757,0)*VLOOKUP(D1757,'报价表-配送'!$B$40:$I$44,2,0)*1000</f>
        <v>0</v>
      </c>
      <c r="N1757" s="38">
        <f t="shared" si="26"/>
        <v>0</v>
      </c>
    </row>
    <row r="1758" spans="1:14" x14ac:dyDescent="0.25">
      <c r="A1758" t="s">
        <v>79</v>
      </c>
      <c r="B1758" s="43" t="s">
        <v>168</v>
      </c>
      <c r="C1758" s="62">
        <f>VLOOKUP(B1758,合并仓明细!$D$2:$F$74,3,0)</f>
        <v>216</v>
      </c>
      <c r="D1758" s="44" t="s">
        <v>414</v>
      </c>
      <c r="E1758" s="43" t="s">
        <v>331</v>
      </c>
      <c r="F1758" t="s">
        <v>66</v>
      </c>
      <c r="G1758" s="42">
        <v>10.199999999999999</v>
      </c>
      <c r="H1758">
        <v>1.0199999999999999E-2</v>
      </c>
      <c r="K1758" s="1"/>
      <c r="L1758" s="37">
        <f>IF(H1758&gt;30,QUOTIENT(H1758,30)*VLOOKUP(D1758,'报价表-配送'!$B$40:$I$44,8,0),0)+IF(AND(MOD(H1758,30)&gt;18,MOD(H1758,30)&lt;=30),1,0)*VLOOKUP(D1758,'报价表-配送'!$B$40:$I$44,8,0)+IF(AND(MOD(H1758,30)&gt;8,MOD(H1758,30)&lt;=18),1*VLOOKUP(D1758,'报价表-配送'!$B$40:$I$44,7,0),0)+IF(AND(MOD(H1758,30)&lt;=8,MOD(H1758,30)&gt;2.5),1,0)*VLOOKUP(D1758,'报价表-配送'!$B$40:$I$44,6,0)+IF(AND(MOD(H1758,30)&lt;=2.5,MOD(H1758,30)&gt;=1.5),1,0)*VLOOKUP(D1758,'报价表-配送'!$B$40:$I$44,5,0)</f>
        <v>0</v>
      </c>
      <c r="M1758" s="39">
        <f>IF(AND(MOD(H1758,30)&lt;1.5,MOD(H1758,30)&gt;=0.5),H1758,0)*VLOOKUP(D1758,'报价表-配送'!$B$40:$I$44,4,0)*1000+IF(AND(MOD(H1758,30)&lt;0.5,MOD(H1758,30)&gt;=0.02),H1758,0)*VLOOKUP(D1758,'报价表-配送'!$B$40:$I$44,3,0)*1000+IF(AND(MOD(H1758,30)&lt;0.02),H1758,0)*VLOOKUP(D1758,'报价表-配送'!$B$40:$I$44,2,0)*1000</f>
        <v>0</v>
      </c>
      <c r="N1758" s="38">
        <f t="shared" si="26"/>
        <v>0</v>
      </c>
    </row>
    <row r="1759" spans="1:14" x14ac:dyDescent="0.25">
      <c r="A1759" t="s">
        <v>79</v>
      </c>
      <c r="B1759" s="43" t="s">
        <v>168</v>
      </c>
      <c r="C1759" s="62">
        <f>VLOOKUP(B1759,合并仓明细!$D$2:$F$74,3,0)</f>
        <v>216</v>
      </c>
      <c r="D1759" s="44" t="s">
        <v>414</v>
      </c>
      <c r="E1759" s="43" t="s">
        <v>254</v>
      </c>
      <c r="F1759" t="s">
        <v>68</v>
      </c>
      <c r="G1759" s="42">
        <v>35.18</v>
      </c>
      <c r="H1759">
        <v>0.86205000000000009</v>
      </c>
      <c r="I1759" s="46">
        <f>ROUNDUP(H1759/30,0)*VLOOKUP(D1759,'报价表-配送'!$B$40:$I$44,8,0)</f>
        <v>0</v>
      </c>
      <c r="J1759" s="38"/>
      <c r="K1759" s="38"/>
      <c r="L1759" s="37"/>
      <c r="M1759" s="38"/>
      <c r="N1759" s="38">
        <f t="shared" si="26"/>
        <v>0</v>
      </c>
    </row>
    <row r="1760" spans="1:14" x14ac:dyDescent="0.25">
      <c r="A1760" t="s">
        <v>79</v>
      </c>
      <c r="B1760" s="43" t="s">
        <v>168</v>
      </c>
      <c r="C1760" s="62">
        <f>VLOOKUP(B1760,合并仓明细!$D$2:$F$74,3,0)</f>
        <v>216</v>
      </c>
      <c r="D1760" s="44" t="s">
        <v>414</v>
      </c>
      <c r="E1760" s="43" t="s">
        <v>254</v>
      </c>
      <c r="F1760" t="s">
        <v>66</v>
      </c>
      <c r="G1760" s="42">
        <v>826.87000000000012</v>
      </c>
      <c r="H1760"/>
      <c r="K1760" s="1"/>
      <c r="L1760" s="33"/>
      <c r="M1760" s="1"/>
      <c r="N1760" s="38">
        <f t="shared" si="26"/>
        <v>0</v>
      </c>
    </row>
    <row r="1761" spans="1:14" x14ac:dyDescent="0.25">
      <c r="A1761" t="s">
        <v>79</v>
      </c>
      <c r="B1761" s="43" t="s">
        <v>168</v>
      </c>
      <c r="C1761" s="62">
        <f>VLOOKUP(B1761,合并仓明细!$D$2:$F$74,3,0)</f>
        <v>216</v>
      </c>
      <c r="D1761" s="44" t="s">
        <v>414</v>
      </c>
      <c r="E1761" s="43" t="s">
        <v>305</v>
      </c>
      <c r="F1761" t="s">
        <v>66</v>
      </c>
      <c r="G1761" s="42">
        <v>123.23</v>
      </c>
      <c r="H1761">
        <v>0.12323000000000001</v>
      </c>
      <c r="K1761" s="1"/>
      <c r="L1761" s="37">
        <f>IF(H1761&gt;30,QUOTIENT(H1761,30)*VLOOKUP(D1761,'报价表-配送'!$B$40:$I$44,8,0),0)+IF(AND(MOD(H1761,30)&gt;18,MOD(H1761,30)&lt;=30),1,0)*VLOOKUP(D1761,'报价表-配送'!$B$40:$I$44,8,0)+IF(AND(MOD(H1761,30)&gt;8,MOD(H1761,30)&lt;=18),1*VLOOKUP(D1761,'报价表-配送'!$B$40:$I$44,7,0),0)+IF(AND(MOD(H1761,30)&lt;=8,MOD(H1761,30)&gt;2.5),1,0)*VLOOKUP(D1761,'报价表-配送'!$B$40:$I$44,6,0)+IF(AND(MOD(H1761,30)&lt;=2.5,MOD(H1761,30)&gt;=1.5),1,0)*VLOOKUP(D1761,'报价表-配送'!$B$40:$I$44,5,0)</f>
        <v>0</v>
      </c>
      <c r="M1761" s="39">
        <f>IF(AND(MOD(H1761,30)&lt;1.5,MOD(H1761,30)&gt;=0.5),H1761,0)*VLOOKUP(D1761,'报价表-配送'!$B$40:$I$44,4,0)*1000+IF(AND(MOD(H1761,30)&lt;0.5,MOD(H1761,30)&gt;=0.02),H1761,0)*VLOOKUP(D1761,'报价表-配送'!$B$40:$I$44,3,0)*1000+IF(AND(MOD(H1761,30)&lt;0.02),H1761,0)*VLOOKUP(D1761,'报价表-配送'!$B$40:$I$44,2,0)*1000</f>
        <v>0</v>
      </c>
      <c r="N1761" s="38">
        <f t="shared" si="26"/>
        <v>0</v>
      </c>
    </row>
    <row r="1762" spans="1:14" x14ac:dyDescent="0.25">
      <c r="A1762" t="s">
        <v>79</v>
      </c>
      <c r="B1762" s="43" t="s">
        <v>168</v>
      </c>
      <c r="C1762" s="62">
        <f>VLOOKUP(B1762,合并仓明细!$D$2:$F$74,3,0)</f>
        <v>216</v>
      </c>
      <c r="D1762" s="44" t="s">
        <v>414</v>
      </c>
      <c r="E1762" s="43" t="s">
        <v>367</v>
      </c>
      <c r="F1762" t="s">
        <v>66</v>
      </c>
      <c r="G1762" s="42">
        <v>87</v>
      </c>
      <c r="H1762">
        <v>8.6999999999999994E-2</v>
      </c>
      <c r="I1762" s="38"/>
      <c r="J1762" s="38"/>
      <c r="K1762" s="38"/>
      <c r="L1762" s="37">
        <f>IF(H1762&gt;30,QUOTIENT(H1762,30)*VLOOKUP(D1762,'报价表-配送'!$B$40:$I$44,8,0),0)+IF(AND(MOD(H1762,30)&gt;18,MOD(H1762,30)&lt;=30),1,0)*VLOOKUP(D1762,'报价表-配送'!$B$40:$I$44,8,0)+IF(AND(MOD(H1762,30)&gt;8,MOD(H1762,30)&lt;=18),1*VLOOKUP(D1762,'报价表-配送'!$B$40:$I$44,7,0),0)+IF(AND(MOD(H1762,30)&lt;=8,MOD(H1762,30)&gt;2.5),1,0)*VLOOKUP(D1762,'报价表-配送'!$B$40:$I$44,6,0)+IF(AND(MOD(H1762,30)&lt;=2.5,MOD(H1762,30)&gt;=1.5),1,0)*VLOOKUP(D1762,'报价表-配送'!$B$40:$I$44,5,0)</f>
        <v>0</v>
      </c>
      <c r="M1762" s="39">
        <f>IF(AND(MOD(H1762,30)&lt;1.5,MOD(H1762,30)&gt;=0.5),H1762,0)*VLOOKUP(D1762,'报价表-配送'!$B$40:$I$44,4,0)*1000+IF(AND(MOD(H1762,30)&lt;0.5,MOD(H1762,30)&gt;=0.02),H1762,0)*VLOOKUP(D1762,'报价表-配送'!$B$40:$I$44,3,0)*1000+IF(AND(MOD(H1762,30)&lt;0.02),H1762,0)*VLOOKUP(D1762,'报价表-配送'!$B$40:$I$44,2,0)*1000</f>
        <v>0</v>
      </c>
      <c r="N1762" s="38">
        <f t="shared" si="26"/>
        <v>0</v>
      </c>
    </row>
    <row r="1763" spans="1:14" x14ac:dyDescent="0.25">
      <c r="A1763" t="s">
        <v>79</v>
      </c>
      <c r="B1763" s="43" t="s">
        <v>169</v>
      </c>
      <c r="C1763" s="62">
        <f>VLOOKUP(B1763,合并仓明细!$D$2:$F$74,3,0)</f>
        <v>227</v>
      </c>
      <c r="D1763" s="44" t="s">
        <v>414</v>
      </c>
      <c r="E1763" s="43" t="s">
        <v>264</v>
      </c>
      <c r="F1763" t="s">
        <v>66</v>
      </c>
      <c r="G1763" s="42">
        <v>9</v>
      </c>
      <c r="H1763">
        <v>8.9999999999999993E-3</v>
      </c>
      <c r="K1763" s="1"/>
      <c r="L1763" s="37">
        <f>IF(H1763&gt;30,QUOTIENT(H1763,30)*VLOOKUP(D1763,'报价表-配送'!$B$40:$I$44,8,0),0)+IF(AND(MOD(H1763,30)&gt;18,MOD(H1763,30)&lt;=30),1,0)*VLOOKUP(D1763,'报价表-配送'!$B$40:$I$44,8,0)+IF(AND(MOD(H1763,30)&gt;8,MOD(H1763,30)&lt;=18),1*VLOOKUP(D1763,'报价表-配送'!$B$40:$I$44,7,0),0)+IF(AND(MOD(H1763,30)&lt;=8,MOD(H1763,30)&gt;2.5),1,0)*VLOOKUP(D1763,'报价表-配送'!$B$40:$I$44,6,0)+IF(AND(MOD(H1763,30)&lt;=2.5,MOD(H1763,30)&gt;=1.5),1,0)*VLOOKUP(D1763,'报价表-配送'!$B$40:$I$44,5,0)</f>
        <v>0</v>
      </c>
      <c r="M1763" s="39">
        <f>IF(AND(MOD(H1763,30)&lt;1.5,MOD(H1763,30)&gt;=0.5),H1763,0)*VLOOKUP(D1763,'报价表-配送'!$B$40:$I$44,4,0)*1000+IF(AND(MOD(H1763,30)&lt;0.5,MOD(H1763,30)&gt;=0.02),H1763,0)*VLOOKUP(D1763,'报价表-配送'!$B$40:$I$44,3,0)*1000+IF(AND(MOD(H1763,30)&lt;0.02),H1763,0)*VLOOKUP(D1763,'报价表-配送'!$B$40:$I$44,2,0)*1000</f>
        <v>0</v>
      </c>
      <c r="N1763" s="38">
        <f t="shared" si="26"/>
        <v>0</v>
      </c>
    </row>
    <row r="1764" spans="1:14" x14ac:dyDescent="0.25">
      <c r="A1764" t="s">
        <v>79</v>
      </c>
      <c r="B1764" s="43" t="s">
        <v>169</v>
      </c>
      <c r="C1764" s="62">
        <f>VLOOKUP(B1764,合并仓明细!$D$2:$F$74,3,0)</f>
        <v>227</v>
      </c>
      <c r="D1764" s="44" t="s">
        <v>414</v>
      </c>
      <c r="E1764" s="43" t="s">
        <v>259</v>
      </c>
      <c r="F1764" t="s">
        <v>66</v>
      </c>
      <c r="G1764" s="42">
        <v>413.78000000000014</v>
      </c>
      <c r="H1764">
        <v>0.41378000000000015</v>
      </c>
      <c r="I1764" s="38"/>
      <c r="J1764" s="38"/>
      <c r="K1764" s="38"/>
      <c r="L1764" s="37">
        <f>IF(H1764&gt;30,QUOTIENT(H1764,30)*VLOOKUP(D1764,'报价表-配送'!$B$40:$I$44,8,0),0)+IF(AND(MOD(H1764,30)&gt;18,MOD(H1764,30)&lt;=30),1,0)*VLOOKUP(D1764,'报价表-配送'!$B$40:$I$44,8,0)+IF(AND(MOD(H1764,30)&gt;8,MOD(H1764,30)&lt;=18),1*VLOOKUP(D1764,'报价表-配送'!$B$40:$I$44,7,0),0)+IF(AND(MOD(H1764,30)&lt;=8,MOD(H1764,30)&gt;2.5),1,0)*VLOOKUP(D1764,'报价表-配送'!$B$40:$I$44,6,0)+IF(AND(MOD(H1764,30)&lt;=2.5,MOD(H1764,30)&gt;=1.5),1,0)*VLOOKUP(D1764,'报价表-配送'!$B$40:$I$44,5,0)</f>
        <v>0</v>
      </c>
      <c r="M1764" s="39">
        <f>IF(AND(MOD(H1764,30)&lt;1.5,MOD(H1764,30)&gt;=0.5),H1764,0)*VLOOKUP(D1764,'报价表-配送'!$B$40:$I$44,4,0)*1000+IF(AND(MOD(H1764,30)&lt;0.5,MOD(H1764,30)&gt;=0.02),H1764,0)*VLOOKUP(D1764,'报价表-配送'!$B$40:$I$44,3,0)*1000+IF(AND(MOD(H1764,30)&lt;0.02),H1764,0)*VLOOKUP(D1764,'报价表-配送'!$B$40:$I$44,2,0)*1000</f>
        <v>0</v>
      </c>
      <c r="N1764" s="38">
        <f t="shared" si="26"/>
        <v>0</v>
      </c>
    </row>
    <row r="1765" spans="1:14" x14ac:dyDescent="0.25">
      <c r="A1765" t="s">
        <v>79</v>
      </c>
      <c r="B1765" s="43" t="s">
        <v>169</v>
      </c>
      <c r="C1765" s="62">
        <f>VLOOKUP(B1765,合并仓明细!$D$2:$F$74,3,0)</f>
        <v>227</v>
      </c>
      <c r="D1765" s="44" t="s">
        <v>414</v>
      </c>
      <c r="E1765" s="43" t="s">
        <v>337</v>
      </c>
      <c r="F1765" t="s">
        <v>66</v>
      </c>
      <c r="G1765" s="42">
        <v>40.729999999999997</v>
      </c>
      <c r="H1765">
        <v>4.0729999999999995E-2</v>
      </c>
      <c r="K1765" s="1"/>
      <c r="L1765" s="37">
        <f>IF(H1765&gt;30,QUOTIENT(H1765,30)*VLOOKUP(D1765,'报价表-配送'!$B$40:$I$44,8,0),0)+IF(AND(MOD(H1765,30)&gt;18,MOD(H1765,30)&lt;=30),1,0)*VLOOKUP(D1765,'报价表-配送'!$B$40:$I$44,8,0)+IF(AND(MOD(H1765,30)&gt;8,MOD(H1765,30)&lt;=18),1*VLOOKUP(D1765,'报价表-配送'!$B$40:$I$44,7,0),0)+IF(AND(MOD(H1765,30)&lt;=8,MOD(H1765,30)&gt;2.5),1,0)*VLOOKUP(D1765,'报价表-配送'!$B$40:$I$44,6,0)+IF(AND(MOD(H1765,30)&lt;=2.5,MOD(H1765,30)&gt;=1.5),1,0)*VLOOKUP(D1765,'报价表-配送'!$B$40:$I$44,5,0)</f>
        <v>0</v>
      </c>
      <c r="M1765" s="39">
        <f>IF(AND(MOD(H1765,30)&lt;1.5,MOD(H1765,30)&gt;=0.5),H1765,0)*VLOOKUP(D1765,'报价表-配送'!$B$40:$I$44,4,0)*1000+IF(AND(MOD(H1765,30)&lt;0.5,MOD(H1765,30)&gt;=0.02),H1765,0)*VLOOKUP(D1765,'报价表-配送'!$B$40:$I$44,3,0)*1000+IF(AND(MOD(H1765,30)&lt;0.02),H1765,0)*VLOOKUP(D1765,'报价表-配送'!$B$40:$I$44,2,0)*1000</f>
        <v>0</v>
      </c>
      <c r="N1765" s="38">
        <f t="shared" si="26"/>
        <v>0</v>
      </c>
    </row>
    <row r="1766" spans="1:14" x14ac:dyDescent="0.25">
      <c r="A1766" t="s">
        <v>79</v>
      </c>
      <c r="B1766" s="44" t="s">
        <v>169</v>
      </c>
      <c r="C1766" s="62">
        <f>VLOOKUP(B1766,合并仓明细!$D$2:$F$74,3,0)</f>
        <v>227</v>
      </c>
      <c r="D1766" s="44" t="s">
        <v>414</v>
      </c>
      <c r="E1766" s="43" t="s">
        <v>277</v>
      </c>
      <c r="F1766" t="s">
        <v>66</v>
      </c>
      <c r="G1766" s="42">
        <v>28</v>
      </c>
      <c r="H1766">
        <v>2.8000000000000001E-2</v>
      </c>
      <c r="I1766" s="46"/>
      <c r="J1766" s="38"/>
      <c r="K1766" s="38"/>
      <c r="L1766" s="37">
        <f>IF(H1766&gt;30,QUOTIENT(H1766,30)*VLOOKUP(D1766,'报价表-配送'!$B$40:$I$44,8,0),0)+IF(AND(MOD(H1766,30)&gt;18,MOD(H1766,30)&lt;=30),1,0)*VLOOKUP(D1766,'报价表-配送'!$B$40:$I$44,8,0)+IF(AND(MOD(H1766,30)&gt;8,MOD(H1766,30)&lt;=18),1*VLOOKUP(D1766,'报价表-配送'!$B$40:$I$44,7,0),0)+IF(AND(MOD(H1766,30)&lt;=8,MOD(H1766,30)&gt;2.5),1,0)*VLOOKUP(D1766,'报价表-配送'!$B$40:$I$44,6,0)+IF(AND(MOD(H1766,30)&lt;=2.5,MOD(H1766,30)&gt;=1.5),1,0)*VLOOKUP(D1766,'报价表-配送'!$B$40:$I$44,5,0)</f>
        <v>0</v>
      </c>
      <c r="M1766" s="39">
        <f>IF(AND(MOD(H1766,30)&lt;1.5,MOD(H1766,30)&gt;=0.5),H1766,0)*VLOOKUP(D1766,'报价表-配送'!$B$40:$I$44,4,0)*1000+IF(AND(MOD(H1766,30)&lt;0.5,MOD(H1766,30)&gt;=0.02),H1766,0)*VLOOKUP(D1766,'报价表-配送'!$B$40:$I$44,3,0)*1000+IF(AND(MOD(H1766,30)&lt;0.02),H1766,0)*VLOOKUP(D1766,'报价表-配送'!$B$40:$I$44,2,0)*1000</f>
        <v>0</v>
      </c>
      <c r="N1766" s="38">
        <f t="shared" ref="N1766:N1829" si="27">SUM(I1766:M1766)</f>
        <v>0</v>
      </c>
    </row>
    <row r="1767" spans="1:14" x14ac:dyDescent="0.25">
      <c r="A1767" t="s">
        <v>79</v>
      </c>
      <c r="B1767" s="45" t="s">
        <v>169</v>
      </c>
      <c r="C1767" s="62">
        <f>VLOOKUP(B1767,合并仓明细!$D$2:$F$74,3,0)</f>
        <v>227</v>
      </c>
      <c r="D1767" s="44" t="s">
        <v>414</v>
      </c>
      <c r="E1767" s="43" t="s">
        <v>352</v>
      </c>
      <c r="F1767" t="s">
        <v>66</v>
      </c>
      <c r="G1767" s="42">
        <v>14.1</v>
      </c>
      <c r="H1767">
        <v>1.41E-2</v>
      </c>
      <c r="K1767" s="1"/>
      <c r="L1767" s="37">
        <f>IF(H1767&gt;30,QUOTIENT(H1767,30)*VLOOKUP(D1767,'报价表-配送'!$B$40:$I$44,8,0),0)+IF(AND(MOD(H1767,30)&gt;18,MOD(H1767,30)&lt;=30),1,0)*VLOOKUP(D1767,'报价表-配送'!$B$40:$I$44,8,0)+IF(AND(MOD(H1767,30)&gt;8,MOD(H1767,30)&lt;=18),1*VLOOKUP(D1767,'报价表-配送'!$B$40:$I$44,7,0),0)+IF(AND(MOD(H1767,30)&lt;=8,MOD(H1767,30)&gt;2.5),1,0)*VLOOKUP(D1767,'报价表-配送'!$B$40:$I$44,6,0)+IF(AND(MOD(H1767,30)&lt;=2.5,MOD(H1767,30)&gt;=1.5),1,0)*VLOOKUP(D1767,'报价表-配送'!$B$40:$I$44,5,0)</f>
        <v>0</v>
      </c>
      <c r="M1767" s="39">
        <f>IF(AND(MOD(H1767,30)&lt;1.5,MOD(H1767,30)&gt;=0.5),H1767,0)*VLOOKUP(D1767,'报价表-配送'!$B$40:$I$44,4,0)*1000+IF(AND(MOD(H1767,30)&lt;0.5,MOD(H1767,30)&gt;=0.02),H1767,0)*VLOOKUP(D1767,'报价表-配送'!$B$40:$I$44,3,0)*1000+IF(AND(MOD(H1767,30)&lt;0.02),H1767,0)*VLOOKUP(D1767,'报价表-配送'!$B$40:$I$44,2,0)*1000</f>
        <v>0</v>
      </c>
      <c r="N1767" s="38">
        <f t="shared" si="27"/>
        <v>0</v>
      </c>
    </row>
    <row r="1768" spans="1:14" x14ac:dyDescent="0.25">
      <c r="A1768" t="s">
        <v>79</v>
      </c>
      <c r="B1768" s="44" t="s">
        <v>169</v>
      </c>
      <c r="C1768" s="62">
        <f>VLOOKUP(B1768,合并仓明细!$D$2:$F$74,3,0)</f>
        <v>227</v>
      </c>
      <c r="D1768" s="44" t="s">
        <v>414</v>
      </c>
      <c r="E1768" s="43" t="s">
        <v>282</v>
      </c>
      <c r="F1768" t="s">
        <v>67</v>
      </c>
      <c r="G1768" s="42">
        <v>90.83</v>
      </c>
      <c r="H1768">
        <v>0.13</v>
      </c>
      <c r="I1768" s="38">
        <f>IF(H1768&gt;30,QUOTIENT(H1768,30)*VLOOKUP(D1768,'报价表-配送'!$B$40:$I$44,8,0),0)+IF(AND(MOD(H1768,30)&gt;18,MOD(H1768,30)&lt;=30),1,0)*VLOOKUP(D1768,'报价表-配送'!$B$40:$I$44,8,0)</f>
        <v>0</v>
      </c>
      <c r="J1768" s="38">
        <f>IF(AND(MOD(H1768,30)&gt;8,MOD(H1768,30)&lt;=18),1*VLOOKUP(D1768,'报价表-配送'!$B$40:$I$44,7,0),0)</f>
        <v>0</v>
      </c>
      <c r="K1768" s="38">
        <f>IF(AND(MOD(H1768,30)&lt;=8,MOD(H1768,30)&gt;0),1,0)*VLOOKUP(D1768,'报价表-配送'!$B$40:$I$44,6,0)</f>
        <v>0</v>
      </c>
      <c r="L1768" s="37"/>
      <c r="M1768" s="38"/>
      <c r="N1768" s="38">
        <f t="shared" si="27"/>
        <v>0</v>
      </c>
    </row>
    <row r="1769" spans="1:14" x14ac:dyDescent="0.25">
      <c r="A1769" t="s">
        <v>79</v>
      </c>
      <c r="B1769" s="43" t="s">
        <v>169</v>
      </c>
      <c r="C1769" s="62">
        <f>VLOOKUP(B1769,合并仓明细!$D$2:$F$74,3,0)</f>
        <v>227</v>
      </c>
      <c r="D1769" s="44" t="s">
        <v>414</v>
      </c>
      <c r="E1769" s="43" t="s">
        <v>282</v>
      </c>
      <c r="F1769" t="s">
        <v>66</v>
      </c>
      <c r="G1769" s="42">
        <v>39.17</v>
      </c>
      <c r="H1769"/>
      <c r="K1769" s="1"/>
      <c r="L1769" s="33"/>
      <c r="M1769" s="1"/>
      <c r="N1769" s="38">
        <f t="shared" si="27"/>
        <v>0</v>
      </c>
    </row>
    <row r="1770" spans="1:14" x14ac:dyDescent="0.25">
      <c r="A1770" t="s">
        <v>79</v>
      </c>
      <c r="B1770" s="43" t="s">
        <v>169</v>
      </c>
      <c r="C1770" s="62">
        <f>VLOOKUP(B1770,合并仓明细!$D$2:$F$74,3,0)</f>
        <v>227</v>
      </c>
      <c r="D1770" s="44" t="s">
        <v>414</v>
      </c>
      <c r="E1770" s="43" t="s">
        <v>285</v>
      </c>
      <c r="F1770" t="s">
        <v>67</v>
      </c>
      <c r="G1770" s="42">
        <v>192.23</v>
      </c>
      <c r="H1770">
        <v>0.20216000000000001</v>
      </c>
      <c r="I1770" s="38">
        <f>IF(H1770&gt;30,QUOTIENT(H1770,30)*VLOOKUP(D1770,'报价表-配送'!$B$40:$I$44,8,0),0)+IF(AND(MOD(H1770,30)&gt;18,MOD(H1770,30)&lt;=30),1,0)*VLOOKUP(D1770,'报价表-配送'!$B$40:$I$44,8,0)</f>
        <v>0</v>
      </c>
      <c r="J1770" s="38">
        <f>IF(AND(MOD(H1770,30)&gt;8,MOD(H1770,30)&lt;=18),1*VLOOKUP(D1770,'报价表-配送'!$B$40:$I$44,7,0),0)</f>
        <v>0</v>
      </c>
      <c r="K1770" s="38">
        <f>IF(AND(MOD(H1770,30)&lt;=8,MOD(H1770,30)&gt;0),1,0)*VLOOKUP(D1770,'报价表-配送'!$B$40:$I$44,6,0)</f>
        <v>0</v>
      </c>
      <c r="L1770" s="33"/>
      <c r="M1770" s="1"/>
      <c r="N1770" s="38">
        <f t="shared" si="27"/>
        <v>0</v>
      </c>
    </row>
    <row r="1771" spans="1:14" x14ac:dyDescent="0.25">
      <c r="A1771" t="s">
        <v>79</v>
      </c>
      <c r="B1771" s="43" t="s">
        <v>169</v>
      </c>
      <c r="C1771" s="62">
        <f>VLOOKUP(B1771,合并仓明细!$D$2:$F$74,3,0)</f>
        <v>227</v>
      </c>
      <c r="D1771" s="44" t="s">
        <v>414</v>
      </c>
      <c r="E1771" s="43" t="s">
        <v>285</v>
      </c>
      <c r="F1771" t="s">
        <v>66</v>
      </c>
      <c r="G1771" s="42">
        <v>9.93</v>
      </c>
      <c r="H1771"/>
      <c r="I1771" s="46"/>
      <c r="J1771" s="38"/>
      <c r="K1771" s="38"/>
      <c r="L1771" s="37"/>
      <c r="M1771" s="38"/>
      <c r="N1771" s="38">
        <f t="shared" si="27"/>
        <v>0</v>
      </c>
    </row>
    <row r="1772" spans="1:14" x14ac:dyDescent="0.25">
      <c r="A1772" t="s">
        <v>79</v>
      </c>
      <c r="B1772" s="43" t="s">
        <v>169</v>
      </c>
      <c r="C1772" s="62">
        <f>VLOOKUP(B1772,合并仓明细!$D$2:$F$74,3,0)</f>
        <v>227</v>
      </c>
      <c r="D1772" s="44" t="s">
        <v>414</v>
      </c>
      <c r="E1772" s="43" t="s">
        <v>290</v>
      </c>
      <c r="F1772" t="s">
        <v>66</v>
      </c>
      <c r="G1772" s="42">
        <v>148.82</v>
      </c>
      <c r="H1772">
        <v>0.14881999999999998</v>
      </c>
      <c r="K1772" s="1"/>
      <c r="L1772" s="37">
        <f>IF(H1772&gt;30,QUOTIENT(H1772,30)*VLOOKUP(D1772,'报价表-配送'!$B$40:$I$44,8,0),0)+IF(AND(MOD(H1772,30)&gt;18,MOD(H1772,30)&lt;=30),1,0)*VLOOKUP(D1772,'报价表-配送'!$B$40:$I$44,8,0)+IF(AND(MOD(H1772,30)&gt;8,MOD(H1772,30)&lt;=18),1*VLOOKUP(D1772,'报价表-配送'!$B$40:$I$44,7,0),0)+IF(AND(MOD(H1772,30)&lt;=8,MOD(H1772,30)&gt;2.5),1,0)*VLOOKUP(D1772,'报价表-配送'!$B$40:$I$44,6,0)+IF(AND(MOD(H1772,30)&lt;=2.5,MOD(H1772,30)&gt;=1.5),1,0)*VLOOKUP(D1772,'报价表-配送'!$B$40:$I$44,5,0)</f>
        <v>0</v>
      </c>
      <c r="M1772" s="39">
        <f>IF(AND(MOD(H1772,30)&lt;1.5,MOD(H1772,30)&gt;=0.5),H1772,0)*VLOOKUP(D1772,'报价表-配送'!$B$40:$I$44,4,0)*1000+IF(AND(MOD(H1772,30)&lt;0.5,MOD(H1772,30)&gt;=0.02),H1772,0)*VLOOKUP(D1772,'报价表-配送'!$B$40:$I$44,3,0)*1000+IF(AND(MOD(H1772,30)&lt;0.02),H1772,0)*VLOOKUP(D1772,'报价表-配送'!$B$40:$I$44,2,0)*1000</f>
        <v>0</v>
      </c>
      <c r="N1772" s="38">
        <f t="shared" si="27"/>
        <v>0</v>
      </c>
    </row>
    <row r="1773" spans="1:14" x14ac:dyDescent="0.25">
      <c r="A1773" t="s">
        <v>77</v>
      </c>
      <c r="B1773" s="43" t="s">
        <v>170</v>
      </c>
      <c r="C1773" s="62">
        <f>VLOOKUP(B1773,合并仓明细!$D$2:$F$74,3,0)</f>
        <v>481</v>
      </c>
      <c r="D1773" s="44" t="s">
        <v>25</v>
      </c>
      <c r="E1773" s="43" t="s">
        <v>309</v>
      </c>
      <c r="F1773" t="s">
        <v>68</v>
      </c>
      <c r="G1773" s="42">
        <v>38.74</v>
      </c>
      <c r="H1773">
        <v>0.11599000000000001</v>
      </c>
      <c r="I1773" s="46">
        <f>ROUNDUP(H1773/30,0)*VLOOKUP(D1773,'报价表-配送'!$B$75:$I$81,8,0)</f>
        <v>0</v>
      </c>
      <c r="K1773" s="1"/>
      <c r="L1773" s="33"/>
      <c r="M1773" s="1"/>
      <c r="N1773" s="38">
        <f t="shared" si="27"/>
        <v>0</v>
      </c>
    </row>
    <row r="1774" spans="1:14" x14ac:dyDescent="0.25">
      <c r="A1774" t="s">
        <v>77</v>
      </c>
      <c r="B1774" s="43" t="s">
        <v>170</v>
      </c>
      <c r="C1774" s="62">
        <f>VLOOKUP(B1774,合并仓明细!$D$2:$F$74,3,0)</f>
        <v>481</v>
      </c>
      <c r="D1774" s="44" t="s">
        <v>25</v>
      </c>
      <c r="E1774" s="43" t="s">
        <v>309</v>
      </c>
      <c r="F1774" t="s">
        <v>66</v>
      </c>
      <c r="G1774" s="42">
        <v>77.25</v>
      </c>
      <c r="H1774"/>
      <c r="I1774" s="46"/>
      <c r="J1774" s="38"/>
      <c r="K1774" s="38"/>
      <c r="L1774" s="37"/>
      <c r="M1774" s="38"/>
      <c r="N1774" s="38">
        <f t="shared" si="27"/>
        <v>0</v>
      </c>
    </row>
    <row r="1775" spans="1:14" x14ac:dyDescent="0.25">
      <c r="A1775" t="s">
        <v>77</v>
      </c>
      <c r="B1775" s="43" t="s">
        <v>170</v>
      </c>
      <c r="C1775" s="62">
        <f>VLOOKUP(B1775,合并仓明细!$D$2:$F$74,3,0)</f>
        <v>481</v>
      </c>
      <c r="D1775" s="44" t="s">
        <v>25</v>
      </c>
      <c r="E1775" s="43" t="s">
        <v>334</v>
      </c>
      <c r="F1775" t="s">
        <v>67</v>
      </c>
      <c r="G1775" s="42">
        <v>102.38</v>
      </c>
      <c r="H1775">
        <v>0.10238</v>
      </c>
      <c r="I1775" s="38">
        <f>IF(H1775&gt;30,QUOTIENT(H1775,30)*VLOOKUP(D1775,'报价表-配送'!$B$75:$I$81,8,0),0)+IF(AND(MOD(H1775,30)&gt;18,MOD(H1775,30)&lt;=30),1,0)*VLOOKUP(D1775,'报价表-配送'!$B$75:$I$81,8,0)</f>
        <v>0</v>
      </c>
      <c r="J1775" s="38">
        <f>IF(AND(MOD(H1775,30)&gt;8,MOD(H1775,30)&lt;=18),1*VLOOKUP(D1775,'报价表-配送'!$B$75:$I$81,7,0),0)</f>
        <v>0</v>
      </c>
      <c r="K1775" s="38">
        <f>IF(AND(MOD(H1775,30)&lt;=8,MOD(H1775,30)&gt;0),1,0)*VLOOKUP(D1775,'报价表-配送'!$B$75:$I$81,6,0)</f>
        <v>0</v>
      </c>
      <c r="L1775" s="33"/>
      <c r="M1775" s="1"/>
      <c r="N1775" s="38">
        <f t="shared" si="27"/>
        <v>0</v>
      </c>
    </row>
    <row r="1776" spans="1:14" x14ac:dyDescent="0.25">
      <c r="A1776" t="s">
        <v>77</v>
      </c>
      <c r="B1776" s="43" t="s">
        <v>170</v>
      </c>
      <c r="C1776" s="62">
        <f>VLOOKUP(B1776,合并仓明细!$D$2:$F$74,3,0)</f>
        <v>481</v>
      </c>
      <c r="D1776" s="44" t="s">
        <v>25</v>
      </c>
      <c r="E1776" s="43" t="s">
        <v>258</v>
      </c>
      <c r="F1776" t="s">
        <v>66</v>
      </c>
      <c r="G1776" s="118">
        <v>8061.35</v>
      </c>
      <c r="H1776" s="119">
        <v>8.0613499999999991</v>
      </c>
      <c r="K1776" s="1"/>
      <c r="L1776" s="37">
        <f>IF(H1776&gt;30,QUOTIENT(H1776,30)*VLOOKUP(D1776,'报价表-配送'!$B$75:$I$81,8,0),0)+IF(AND(MOD(H1776,30)&gt;18,MOD(H1776,30)&lt;=30),1,0)*VLOOKUP(D1776,'报价表-配送'!$B$75:$I$81,8,0)+IF(AND(MOD(H1776,30)&gt;8,MOD(H1776,30)&lt;=18),1*VLOOKUP(D1776,'报价表-配送'!$B$75:$I$81,7,0),0)+IF(AND(MOD(H1776,30)&lt;=8,MOD(H1776,30)&gt;2.5),1,0)*VLOOKUP(D1776,'报价表-配送'!$B$75:$I$81,6,0)+IF(AND(MOD(H1776,30)&lt;=2.5,MOD(H1776,30)&gt;=1.5),1,0)*VLOOKUP(D1776,'报价表-配送'!$B$75:$I$81,5,0)</f>
        <v>0</v>
      </c>
      <c r="M1776" s="39">
        <f>IF(AND(MOD(H1776,30)&lt;1.5,MOD(H1776,30)&gt;=0.5),H1776,0)*VLOOKUP(D1776,'报价表-配送'!$B$75:$I$81,4,0)*1000+IF(AND(MOD(H1776,30)&lt;0.5,MOD(H1776,30)&gt;=0.02),H1776,0)*VLOOKUP(D1776,'报价表-配送'!$B$75:$I$81,3,0)*1000+IF(AND(MOD(H1776,30)&lt;0.02),H1776,0)*VLOOKUP(D1776,'报价表-配送'!$B$75:$I$81,2,0)*1000</f>
        <v>0</v>
      </c>
      <c r="N1776" s="38">
        <f t="shared" si="27"/>
        <v>0</v>
      </c>
    </row>
    <row r="1777" spans="1:14" x14ac:dyDescent="0.25">
      <c r="A1777" t="s">
        <v>77</v>
      </c>
      <c r="B1777" s="43" t="s">
        <v>170</v>
      </c>
      <c r="C1777" s="62">
        <f>VLOOKUP(B1777,合并仓明细!$D$2:$F$74,3,0)</f>
        <v>481</v>
      </c>
      <c r="D1777" s="44" t="s">
        <v>25</v>
      </c>
      <c r="E1777" s="43" t="s">
        <v>272</v>
      </c>
      <c r="F1777" t="s">
        <v>66</v>
      </c>
      <c r="G1777" s="42">
        <v>0</v>
      </c>
      <c r="H1777"/>
      <c r="K1777" s="1"/>
      <c r="L1777" s="33"/>
      <c r="M1777" s="1"/>
      <c r="N1777" s="38">
        <f t="shared" si="27"/>
        <v>0</v>
      </c>
    </row>
    <row r="1778" spans="1:14" x14ac:dyDescent="0.25">
      <c r="A1778" t="s">
        <v>77</v>
      </c>
      <c r="B1778" s="43" t="s">
        <v>170</v>
      </c>
      <c r="C1778" s="62">
        <f>VLOOKUP(B1778,合并仓明细!$D$2:$F$74,3,0)</f>
        <v>481</v>
      </c>
      <c r="D1778" s="44" t="s">
        <v>25</v>
      </c>
      <c r="E1778" s="43" t="s">
        <v>336</v>
      </c>
      <c r="F1778" t="s">
        <v>66</v>
      </c>
      <c r="G1778" s="42">
        <v>38.28</v>
      </c>
      <c r="H1778">
        <v>3.8280000000000002E-2</v>
      </c>
      <c r="K1778" s="1"/>
      <c r="L1778" s="37">
        <f>IF(H1778&gt;30,QUOTIENT(H1778,30)*VLOOKUP(D1778,'报价表-配送'!$B$75:$I$81,8,0),0)+IF(AND(MOD(H1778,30)&gt;18,MOD(H1778,30)&lt;=30),1,0)*VLOOKUP(D1778,'报价表-配送'!$B$75:$I$81,8,0)+IF(AND(MOD(H1778,30)&gt;8,MOD(H1778,30)&lt;=18),1*VLOOKUP(D1778,'报价表-配送'!$B$75:$I$81,7,0),0)+IF(AND(MOD(H1778,30)&lt;=8,MOD(H1778,30)&gt;2.5),1,0)*VLOOKUP(D1778,'报价表-配送'!$B$75:$I$81,6,0)+IF(AND(MOD(H1778,30)&lt;=2.5,MOD(H1778,30)&gt;=1.5),1,0)*VLOOKUP(D1778,'报价表-配送'!$B$75:$I$81,5,0)</f>
        <v>0</v>
      </c>
      <c r="M1778" s="39">
        <f>IF(AND(MOD(H1778,30)&lt;1.5,MOD(H1778,30)&gt;=0.5),H1778,0)*VLOOKUP(D1778,'报价表-配送'!$B$75:$I$81,4,0)*1000+IF(AND(MOD(H1778,30)&lt;0.5,MOD(H1778,30)&gt;=0.02),H1778,0)*VLOOKUP(D1778,'报价表-配送'!$B$75:$I$81,3,0)*1000+IF(AND(MOD(H1778,30)&lt;0.02),H1778,0)*VLOOKUP(D1778,'报价表-配送'!$B$75:$I$81,2,0)*1000</f>
        <v>0</v>
      </c>
      <c r="N1778" s="38">
        <f t="shared" si="27"/>
        <v>0</v>
      </c>
    </row>
    <row r="1779" spans="1:14" x14ac:dyDescent="0.25">
      <c r="A1779" t="s">
        <v>77</v>
      </c>
      <c r="B1779" s="43" t="s">
        <v>170</v>
      </c>
      <c r="C1779" s="62">
        <f>VLOOKUP(B1779,合并仓明细!$D$2:$F$74,3,0)</f>
        <v>481</v>
      </c>
      <c r="D1779" s="44" t="s">
        <v>25</v>
      </c>
      <c r="E1779" s="43" t="s">
        <v>247</v>
      </c>
      <c r="F1779" t="s">
        <v>66</v>
      </c>
      <c r="G1779" s="42">
        <v>920.48</v>
      </c>
      <c r="H1779">
        <v>0.92047999999999996</v>
      </c>
      <c r="I1779" s="46"/>
      <c r="J1779" s="38"/>
      <c r="K1779" s="38"/>
      <c r="L1779" s="37">
        <f>IF(H1779&gt;30,QUOTIENT(H1779,30)*VLOOKUP(D1779,'报价表-配送'!$B$75:$I$81,8,0),0)+IF(AND(MOD(H1779,30)&gt;18,MOD(H1779,30)&lt;=30),1,0)*VLOOKUP(D1779,'报价表-配送'!$B$75:$I$81,8,0)+IF(AND(MOD(H1779,30)&gt;8,MOD(H1779,30)&lt;=18),1*VLOOKUP(D1779,'报价表-配送'!$B$75:$I$81,7,0),0)+IF(AND(MOD(H1779,30)&lt;=8,MOD(H1779,30)&gt;2.5),1,0)*VLOOKUP(D1779,'报价表-配送'!$B$75:$I$81,6,0)+IF(AND(MOD(H1779,30)&lt;=2.5,MOD(H1779,30)&gt;=1.5),1,0)*VLOOKUP(D1779,'报价表-配送'!$B$75:$I$81,5,0)</f>
        <v>0</v>
      </c>
      <c r="M1779" s="39">
        <f>IF(AND(MOD(H1779,30)&lt;1.5,MOD(H1779,30)&gt;=0.5),H1779,0)*VLOOKUP(D1779,'报价表-配送'!$B$75:$I$81,4,0)*1000+IF(AND(MOD(H1779,30)&lt;0.5,MOD(H1779,30)&gt;=0.02),H1779,0)*VLOOKUP(D1779,'报价表-配送'!$B$75:$I$81,3,0)*1000+IF(AND(MOD(H1779,30)&lt;0.02),H1779,0)*VLOOKUP(D1779,'报价表-配送'!$B$75:$I$81,2,0)*1000</f>
        <v>0</v>
      </c>
      <c r="N1779" s="38">
        <f t="shared" si="27"/>
        <v>0</v>
      </c>
    </row>
    <row r="1780" spans="1:14" x14ac:dyDescent="0.25">
      <c r="A1780" t="s">
        <v>77</v>
      </c>
      <c r="B1780" s="43" t="s">
        <v>170</v>
      </c>
      <c r="C1780" s="62">
        <f>VLOOKUP(B1780,合并仓明细!$D$2:$F$74,3,0)</f>
        <v>481</v>
      </c>
      <c r="D1780" s="44" t="s">
        <v>25</v>
      </c>
      <c r="E1780" s="43" t="s">
        <v>289</v>
      </c>
      <c r="F1780" t="s">
        <v>66</v>
      </c>
      <c r="G1780" s="42">
        <v>8.3999999999999986</v>
      </c>
      <c r="H1780">
        <v>8.3999999999999977E-3</v>
      </c>
      <c r="K1780" s="1"/>
      <c r="L1780" s="37">
        <f>IF(H1780&gt;30,QUOTIENT(H1780,30)*VLOOKUP(D1780,'报价表-配送'!$B$75:$I$81,8,0),0)+IF(AND(MOD(H1780,30)&gt;18,MOD(H1780,30)&lt;=30),1,0)*VLOOKUP(D1780,'报价表-配送'!$B$75:$I$81,8,0)+IF(AND(MOD(H1780,30)&gt;8,MOD(H1780,30)&lt;=18),1*VLOOKUP(D1780,'报价表-配送'!$B$75:$I$81,7,0),0)+IF(AND(MOD(H1780,30)&lt;=8,MOD(H1780,30)&gt;2.5),1,0)*VLOOKUP(D1780,'报价表-配送'!$B$75:$I$81,6,0)+IF(AND(MOD(H1780,30)&lt;=2.5,MOD(H1780,30)&gt;=1.5),1,0)*VLOOKUP(D1780,'报价表-配送'!$B$75:$I$81,5,0)</f>
        <v>0</v>
      </c>
      <c r="M1780" s="39">
        <f>IF(AND(MOD(H1780,30)&lt;1.5,MOD(H1780,30)&gt;=0.5),H1780,0)*VLOOKUP(D1780,'报价表-配送'!$B$75:$I$81,4,0)*1000+IF(AND(MOD(H1780,30)&lt;0.5,MOD(H1780,30)&gt;=0.02),H1780,0)*VLOOKUP(D1780,'报价表-配送'!$B$75:$I$81,3,0)*1000+IF(AND(MOD(H1780,30)&lt;0.02),H1780,0)*VLOOKUP(D1780,'报价表-配送'!$B$75:$I$81,2,0)*1000</f>
        <v>0</v>
      </c>
      <c r="N1780" s="38">
        <f t="shared" si="27"/>
        <v>0</v>
      </c>
    </row>
    <row r="1781" spans="1:14" x14ac:dyDescent="0.25">
      <c r="A1781" t="s">
        <v>77</v>
      </c>
      <c r="B1781" s="43" t="s">
        <v>170</v>
      </c>
      <c r="C1781" s="62">
        <f>VLOOKUP(B1781,合并仓明细!$D$2:$F$74,3,0)</f>
        <v>481</v>
      </c>
      <c r="D1781" s="44" t="s">
        <v>25</v>
      </c>
      <c r="E1781" s="43" t="s">
        <v>349</v>
      </c>
      <c r="F1781" t="s">
        <v>66</v>
      </c>
      <c r="G1781" s="111">
        <v>1678.5</v>
      </c>
      <c r="H1781" s="103">
        <v>1.6785000000000001</v>
      </c>
      <c r="K1781" s="1"/>
      <c r="L1781" s="37">
        <f>IF(H1781&gt;30,QUOTIENT(H1781,30)*VLOOKUP(D1781,'报价表-配送'!$B$75:$I$81,8,0),0)+IF(AND(MOD(H1781,30)&gt;18,MOD(H1781,30)&lt;=30),1,0)*VLOOKUP(D1781,'报价表-配送'!$B$75:$I$81,8,0)+IF(AND(MOD(H1781,30)&gt;8,MOD(H1781,30)&lt;=18),1*VLOOKUP(D1781,'报价表-配送'!$B$75:$I$81,7,0),0)+IF(AND(MOD(H1781,30)&lt;=8,MOD(H1781,30)&gt;2.5),1,0)*VLOOKUP(D1781,'报价表-配送'!$B$75:$I$81,6,0)+IF(AND(MOD(H1781,30)&lt;=2.5,MOD(H1781,30)&gt;=1.5),1,0)*VLOOKUP(D1781,'报价表-配送'!$B$75:$I$81,5,0)</f>
        <v>0</v>
      </c>
      <c r="M1781" s="39">
        <f>IF(AND(MOD(H1781,30)&lt;1.5,MOD(H1781,30)&gt;=0.5),H1781,0)*VLOOKUP(D1781,'报价表-配送'!$B$75:$I$81,4,0)*1000+IF(AND(MOD(H1781,30)&lt;0.5,MOD(H1781,30)&gt;=0.02),H1781,0)*VLOOKUP(D1781,'报价表-配送'!$B$75:$I$81,3,0)*1000+IF(AND(MOD(H1781,30)&lt;0.02),H1781,0)*VLOOKUP(D1781,'报价表-配送'!$B$75:$I$81,2,0)*1000</f>
        <v>0</v>
      </c>
      <c r="N1781" s="38">
        <f t="shared" si="27"/>
        <v>0</v>
      </c>
    </row>
    <row r="1782" spans="1:14" x14ac:dyDescent="0.25">
      <c r="A1782" t="s">
        <v>77</v>
      </c>
      <c r="B1782" s="43" t="s">
        <v>170</v>
      </c>
      <c r="C1782" s="62">
        <f>VLOOKUP(B1782,合并仓明细!$D$2:$F$74,3,0)</f>
        <v>481</v>
      </c>
      <c r="D1782" s="44" t="s">
        <v>25</v>
      </c>
      <c r="E1782" s="43" t="s">
        <v>314</v>
      </c>
      <c r="F1782" t="s">
        <v>66</v>
      </c>
      <c r="G1782" s="42">
        <v>11.5</v>
      </c>
      <c r="H1782">
        <v>1.15E-2</v>
      </c>
      <c r="I1782" s="46"/>
      <c r="J1782" s="38"/>
      <c r="K1782" s="38"/>
      <c r="L1782" s="37">
        <f>IF(H1782&gt;30,QUOTIENT(H1782,30)*VLOOKUP(D1782,'报价表-配送'!$B$75:$I$81,8,0),0)+IF(AND(MOD(H1782,30)&gt;18,MOD(H1782,30)&lt;=30),1,0)*VLOOKUP(D1782,'报价表-配送'!$B$75:$I$81,8,0)+IF(AND(MOD(H1782,30)&gt;8,MOD(H1782,30)&lt;=18),1*VLOOKUP(D1782,'报价表-配送'!$B$75:$I$81,7,0),0)+IF(AND(MOD(H1782,30)&lt;=8,MOD(H1782,30)&gt;2.5),1,0)*VLOOKUP(D1782,'报价表-配送'!$B$75:$I$81,6,0)+IF(AND(MOD(H1782,30)&lt;=2.5,MOD(H1782,30)&gt;=1.5),1,0)*VLOOKUP(D1782,'报价表-配送'!$B$75:$I$81,5,0)</f>
        <v>0</v>
      </c>
      <c r="M1782" s="39">
        <f>IF(AND(MOD(H1782,30)&lt;1.5,MOD(H1782,30)&gt;=0.5),H1782,0)*VLOOKUP(D1782,'报价表-配送'!$B$75:$I$81,4,0)*1000+IF(AND(MOD(H1782,30)&lt;0.5,MOD(H1782,30)&gt;=0.02),H1782,0)*VLOOKUP(D1782,'报价表-配送'!$B$75:$I$81,3,0)*1000+IF(AND(MOD(H1782,30)&lt;0.02),H1782,0)*VLOOKUP(D1782,'报价表-配送'!$B$75:$I$81,2,0)*1000</f>
        <v>0</v>
      </c>
      <c r="N1782" s="38">
        <f t="shared" si="27"/>
        <v>0</v>
      </c>
    </row>
    <row r="1783" spans="1:14" x14ac:dyDescent="0.25">
      <c r="A1783" t="s">
        <v>77</v>
      </c>
      <c r="B1783" s="43" t="s">
        <v>171</v>
      </c>
      <c r="C1783" s="62">
        <f>VLOOKUP(B1783,合并仓明细!$D$2:$F$74,3,0)</f>
        <v>360</v>
      </c>
      <c r="D1783" t="s">
        <v>410</v>
      </c>
      <c r="E1783" s="43" t="s">
        <v>260</v>
      </c>
      <c r="F1783" t="s">
        <v>66</v>
      </c>
      <c r="G1783" s="111">
        <v>515.84</v>
      </c>
      <c r="H1783" s="103">
        <v>0.51583999999999997</v>
      </c>
      <c r="K1783" s="1"/>
      <c r="L1783" s="37">
        <f>IF(H1783&gt;30,QUOTIENT(H1783,30)*VLOOKUP(D1783,'报价表-配送'!$B$75:$I$81,8,0),0)+IF(AND(MOD(H1783,30)&gt;18,MOD(H1783,30)&lt;=30),1,0)*VLOOKUP(D1783,'报价表-配送'!$B$75:$I$81,8,0)+IF(AND(MOD(H1783,30)&gt;8,MOD(H1783,30)&lt;=18),1*VLOOKUP(D1783,'报价表-配送'!$B$75:$I$81,7,0),0)+IF(AND(MOD(H1783,30)&lt;=8,MOD(H1783,30)&gt;2.5),1,0)*VLOOKUP(D1783,'报价表-配送'!$B$75:$I$81,6,0)+IF(AND(MOD(H1783,30)&lt;=2.5,MOD(H1783,30)&gt;=1.5),1,0)*VLOOKUP(D1783,'报价表-配送'!$B$75:$I$81,5,0)</f>
        <v>0</v>
      </c>
      <c r="M1783" s="39">
        <f>IF(AND(MOD(H1783,30)&lt;1.5,MOD(H1783,30)&gt;=0.5),H1783,0)*VLOOKUP(D1783,'报价表-配送'!$B$75:$I$81,4,0)*1000+IF(AND(MOD(H1783,30)&lt;0.5,MOD(H1783,30)&gt;=0.02),H1783,0)*VLOOKUP(D1783,'报价表-配送'!$B$75:$I$81,3,0)*1000+IF(AND(MOD(H1783,30)&lt;0.02),H1783,0)*VLOOKUP(D1783,'报价表-配送'!$B$75:$I$81,2,0)*1000</f>
        <v>0</v>
      </c>
      <c r="N1783" s="38">
        <f t="shared" si="27"/>
        <v>0</v>
      </c>
    </row>
    <row r="1784" spans="1:14" x14ac:dyDescent="0.25">
      <c r="A1784" t="s">
        <v>77</v>
      </c>
      <c r="B1784" s="43" t="s">
        <v>171</v>
      </c>
      <c r="C1784" s="62">
        <f>VLOOKUP(B1784,合并仓明细!$D$2:$F$74,3,0)</f>
        <v>360</v>
      </c>
      <c r="D1784" t="s">
        <v>410</v>
      </c>
      <c r="E1784" s="43" t="s">
        <v>263</v>
      </c>
      <c r="F1784" t="s">
        <v>66</v>
      </c>
      <c r="G1784" s="42">
        <v>2.65</v>
      </c>
      <c r="H1784">
        <v>2.65E-3</v>
      </c>
      <c r="I1784" s="46"/>
      <c r="J1784" s="38"/>
      <c r="K1784" s="38"/>
      <c r="L1784" s="37">
        <f>IF(H1784&gt;30,QUOTIENT(H1784,30)*VLOOKUP(D1784,'报价表-配送'!$B$75:$I$81,8,0),0)+IF(AND(MOD(H1784,30)&gt;18,MOD(H1784,30)&lt;=30),1,0)*VLOOKUP(D1784,'报价表-配送'!$B$75:$I$81,8,0)+IF(AND(MOD(H1784,30)&gt;8,MOD(H1784,30)&lt;=18),1*VLOOKUP(D1784,'报价表-配送'!$B$75:$I$81,7,0),0)+IF(AND(MOD(H1784,30)&lt;=8,MOD(H1784,30)&gt;2.5),1,0)*VLOOKUP(D1784,'报价表-配送'!$B$75:$I$81,6,0)+IF(AND(MOD(H1784,30)&lt;=2.5,MOD(H1784,30)&gt;=1.5),1,0)*VLOOKUP(D1784,'报价表-配送'!$B$75:$I$81,5,0)</f>
        <v>0</v>
      </c>
      <c r="M1784" s="39">
        <f>IF(AND(MOD(H1784,30)&lt;1.5,MOD(H1784,30)&gt;=0.5),H1784,0)*VLOOKUP(D1784,'报价表-配送'!$B$75:$I$81,4,0)*1000+IF(AND(MOD(H1784,30)&lt;0.5,MOD(H1784,30)&gt;=0.02),H1784,0)*VLOOKUP(D1784,'报价表-配送'!$B$75:$I$81,3,0)*1000+IF(AND(MOD(H1784,30)&lt;0.02),H1784,0)*VLOOKUP(D1784,'报价表-配送'!$B$75:$I$81,2,0)*1000</f>
        <v>0</v>
      </c>
      <c r="N1784" s="38">
        <f t="shared" si="27"/>
        <v>0</v>
      </c>
    </row>
    <row r="1785" spans="1:14" x14ac:dyDescent="0.25">
      <c r="A1785" t="s">
        <v>77</v>
      </c>
      <c r="B1785" s="43" t="s">
        <v>171</v>
      </c>
      <c r="C1785" s="62">
        <f>VLOOKUP(B1785,合并仓明细!$D$2:$F$74,3,0)</f>
        <v>360</v>
      </c>
      <c r="D1785" t="s">
        <v>410</v>
      </c>
      <c r="E1785" s="43" t="s">
        <v>308</v>
      </c>
      <c r="F1785" t="s">
        <v>66</v>
      </c>
      <c r="G1785" s="42">
        <v>46.86</v>
      </c>
      <c r="H1785">
        <v>4.6859999999999999E-2</v>
      </c>
      <c r="K1785" s="1"/>
      <c r="L1785" s="37">
        <f>IF(H1785&gt;30,QUOTIENT(H1785,30)*VLOOKUP(D1785,'报价表-配送'!$B$75:$I$81,8,0),0)+IF(AND(MOD(H1785,30)&gt;18,MOD(H1785,30)&lt;=30),1,0)*VLOOKUP(D1785,'报价表-配送'!$B$75:$I$81,8,0)+IF(AND(MOD(H1785,30)&gt;8,MOD(H1785,30)&lt;=18),1*VLOOKUP(D1785,'报价表-配送'!$B$75:$I$81,7,0),0)+IF(AND(MOD(H1785,30)&lt;=8,MOD(H1785,30)&gt;2.5),1,0)*VLOOKUP(D1785,'报价表-配送'!$B$75:$I$81,6,0)+IF(AND(MOD(H1785,30)&lt;=2.5,MOD(H1785,30)&gt;=1.5),1,0)*VLOOKUP(D1785,'报价表-配送'!$B$75:$I$81,5,0)</f>
        <v>0</v>
      </c>
      <c r="M1785" s="39">
        <f>IF(AND(MOD(H1785,30)&lt;1.5,MOD(H1785,30)&gt;=0.5),H1785,0)*VLOOKUP(D1785,'报价表-配送'!$B$75:$I$81,4,0)*1000+IF(AND(MOD(H1785,30)&lt;0.5,MOD(H1785,30)&gt;=0.02),H1785,0)*VLOOKUP(D1785,'报价表-配送'!$B$75:$I$81,3,0)*1000+IF(AND(MOD(H1785,30)&lt;0.02),H1785,0)*VLOOKUP(D1785,'报价表-配送'!$B$75:$I$81,2,0)*1000</f>
        <v>0</v>
      </c>
      <c r="N1785" s="38">
        <f t="shared" si="27"/>
        <v>0</v>
      </c>
    </row>
    <row r="1786" spans="1:14" x14ac:dyDescent="0.25">
      <c r="A1786" t="s">
        <v>77</v>
      </c>
      <c r="B1786" s="43" t="s">
        <v>171</v>
      </c>
      <c r="C1786" s="62">
        <f>VLOOKUP(B1786,合并仓明细!$D$2:$F$74,3,0)</f>
        <v>360</v>
      </c>
      <c r="D1786" t="s">
        <v>410</v>
      </c>
      <c r="E1786" s="43" t="s">
        <v>333</v>
      </c>
      <c r="F1786" t="s">
        <v>68</v>
      </c>
      <c r="G1786" s="42">
        <v>1277.1500000000001</v>
      </c>
      <c r="H1786">
        <v>1.35195</v>
      </c>
      <c r="I1786" s="46">
        <f>ROUNDUP(H1786/30,0)*VLOOKUP(D1786,'报价表-配送'!$B$75:$I$81,8,0)</f>
        <v>0</v>
      </c>
      <c r="K1786" s="1"/>
      <c r="L1786" s="33"/>
      <c r="M1786" s="1"/>
      <c r="N1786" s="38">
        <f t="shared" si="27"/>
        <v>0</v>
      </c>
    </row>
    <row r="1787" spans="1:14" x14ac:dyDescent="0.25">
      <c r="A1787" t="s">
        <v>77</v>
      </c>
      <c r="B1787" s="43" t="s">
        <v>171</v>
      </c>
      <c r="C1787" s="62">
        <f>VLOOKUP(B1787,合并仓明细!$D$2:$F$74,3,0)</f>
        <v>360</v>
      </c>
      <c r="D1787" t="s">
        <v>410</v>
      </c>
      <c r="E1787" s="43" t="s">
        <v>333</v>
      </c>
      <c r="F1787" t="s">
        <v>66</v>
      </c>
      <c r="G1787" s="42">
        <v>74.800000000000011</v>
      </c>
      <c r="H1787"/>
      <c r="I1787" s="46"/>
      <c r="J1787" s="38"/>
      <c r="K1787" s="38"/>
      <c r="L1787" s="37"/>
      <c r="M1787" s="38"/>
      <c r="N1787" s="38">
        <f t="shared" si="27"/>
        <v>0</v>
      </c>
    </row>
    <row r="1788" spans="1:14" x14ac:dyDescent="0.25">
      <c r="A1788" t="s">
        <v>77</v>
      </c>
      <c r="B1788" s="43" t="s">
        <v>171</v>
      </c>
      <c r="C1788" s="62">
        <f>VLOOKUP(B1788,合并仓明细!$D$2:$F$74,3,0)</f>
        <v>360</v>
      </c>
      <c r="D1788" t="s">
        <v>410</v>
      </c>
      <c r="E1788" s="43" t="s">
        <v>267</v>
      </c>
      <c r="F1788" t="s">
        <v>66</v>
      </c>
      <c r="G1788" s="42">
        <v>56.25</v>
      </c>
      <c r="H1788">
        <v>5.6250000000000001E-2</v>
      </c>
      <c r="K1788" s="1"/>
      <c r="L1788" s="37">
        <f>IF(H1788&gt;30,QUOTIENT(H1788,30)*VLOOKUP(D1788,'报价表-配送'!$B$75:$I$81,8,0),0)+IF(AND(MOD(H1788,30)&gt;18,MOD(H1788,30)&lt;=30),1,0)*VLOOKUP(D1788,'报价表-配送'!$B$75:$I$81,8,0)+IF(AND(MOD(H1788,30)&gt;8,MOD(H1788,30)&lt;=18),1*VLOOKUP(D1788,'报价表-配送'!$B$75:$I$81,7,0),0)+IF(AND(MOD(H1788,30)&lt;=8,MOD(H1788,30)&gt;2.5),1,0)*VLOOKUP(D1788,'报价表-配送'!$B$75:$I$81,6,0)+IF(AND(MOD(H1788,30)&lt;=2.5,MOD(H1788,30)&gt;=1.5),1,0)*VLOOKUP(D1788,'报价表-配送'!$B$75:$I$81,5,0)</f>
        <v>0</v>
      </c>
      <c r="M1788" s="39">
        <f>IF(AND(MOD(H1788,30)&lt;1.5,MOD(H1788,30)&gt;=0.5),H1788,0)*VLOOKUP(D1788,'报价表-配送'!$B$75:$I$81,4,0)*1000+IF(AND(MOD(H1788,30)&lt;0.5,MOD(H1788,30)&gt;=0.02),H1788,0)*VLOOKUP(D1788,'报价表-配送'!$B$75:$I$81,3,0)*1000+IF(AND(MOD(H1788,30)&lt;0.02),H1788,0)*VLOOKUP(D1788,'报价表-配送'!$B$75:$I$81,2,0)*1000</f>
        <v>0</v>
      </c>
      <c r="N1788" s="38">
        <f t="shared" si="27"/>
        <v>0</v>
      </c>
    </row>
    <row r="1789" spans="1:14" x14ac:dyDescent="0.25">
      <c r="A1789" t="s">
        <v>77</v>
      </c>
      <c r="B1789" s="43" t="s">
        <v>171</v>
      </c>
      <c r="C1789" s="62">
        <f>VLOOKUP(B1789,合并仓明细!$D$2:$F$74,3,0)</f>
        <v>360</v>
      </c>
      <c r="D1789" t="s">
        <v>410</v>
      </c>
      <c r="E1789" s="43" t="s">
        <v>322</v>
      </c>
      <c r="F1789" t="s">
        <v>66</v>
      </c>
      <c r="G1789" s="42">
        <v>0.43</v>
      </c>
      <c r="H1789">
        <v>4.2999999999999999E-4</v>
      </c>
      <c r="K1789" s="1"/>
      <c r="L1789" s="37">
        <f>IF(H1789&gt;30,QUOTIENT(H1789,30)*VLOOKUP(D1789,'报价表-配送'!$B$75:$I$81,8,0),0)+IF(AND(MOD(H1789,30)&gt;18,MOD(H1789,30)&lt;=30),1,0)*VLOOKUP(D1789,'报价表-配送'!$B$75:$I$81,8,0)+IF(AND(MOD(H1789,30)&gt;8,MOD(H1789,30)&lt;=18),1*VLOOKUP(D1789,'报价表-配送'!$B$75:$I$81,7,0),0)+IF(AND(MOD(H1789,30)&lt;=8,MOD(H1789,30)&gt;2.5),1,0)*VLOOKUP(D1789,'报价表-配送'!$B$75:$I$81,6,0)+IF(AND(MOD(H1789,30)&lt;=2.5,MOD(H1789,30)&gt;=1.5),1,0)*VLOOKUP(D1789,'报价表-配送'!$B$75:$I$81,5,0)</f>
        <v>0</v>
      </c>
      <c r="M1789" s="39">
        <f>IF(AND(MOD(H1789,30)&lt;1.5,MOD(H1789,30)&gt;=0.5),H1789,0)*VLOOKUP(D1789,'报价表-配送'!$B$75:$I$81,4,0)*1000+IF(AND(MOD(H1789,30)&lt;0.5,MOD(H1789,30)&gt;=0.02),H1789,0)*VLOOKUP(D1789,'报价表-配送'!$B$75:$I$81,3,0)*1000+IF(AND(MOD(H1789,30)&lt;0.02),H1789,0)*VLOOKUP(D1789,'报价表-配送'!$B$75:$I$81,2,0)*1000</f>
        <v>0</v>
      </c>
      <c r="N1789" s="38">
        <f t="shared" si="27"/>
        <v>0</v>
      </c>
    </row>
    <row r="1790" spans="1:14" x14ac:dyDescent="0.25">
      <c r="A1790" t="s">
        <v>77</v>
      </c>
      <c r="B1790" s="43" t="s">
        <v>171</v>
      </c>
      <c r="C1790" s="62">
        <f>VLOOKUP(B1790,合并仓明细!$D$2:$F$74,3,0)</f>
        <v>360</v>
      </c>
      <c r="D1790" t="s">
        <v>410</v>
      </c>
      <c r="E1790" s="43" t="s">
        <v>352</v>
      </c>
      <c r="F1790" t="s">
        <v>66</v>
      </c>
      <c r="G1790" s="42">
        <v>6.94</v>
      </c>
      <c r="H1790">
        <v>6.94E-3</v>
      </c>
      <c r="I1790" s="46"/>
      <c r="J1790" s="38"/>
      <c r="K1790" s="38"/>
      <c r="L1790" s="37">
        <f>IF(H1790&gt;30,QUOTIENT(H1790,30)*VLOOKUP(D1790,'报价表-配送'!$B$75:$I$81,8,0),0)+IF(AND(MOD(H1790,30)&gt;18,MOD(H1790,30)&lt;=30),1,0)*VLOOKUP(D1790,'报价表-配送'!$B$75:$I$81,8,0)+IF(AND(MOD(H1790,30)&gt;8,MOD(H1790,30)&lt;=18),1*VLOOKUP(D1790,'报价表-配送'!$B$75:$I$81,7,0),0)+IF(AND(MOD(H1790,30)&lt;=8,MOD(H1790,30)&gt;2.5),1,0)*VLOOKUP(D1790,'报价表-配送'!$B$75:$I$81,6,0)+IF(AND(MOD(H1790,30)&lt;=2.5,MOD(H1790,30)&gt;=1.5),1,0)*VLOOKUP(D1790,'报价表-配送'!$B$75:$I$81,5,0)</f>
        <v>0</v>
      </c>
      <c r="M1790" s="39">
        <f>IF(AND(MOD(H1790,30)&lt;1.5,MOD(H1790,30)&gt;=0.5),H1790,0)*VLOOKUP(D1790,'报价表-配送'!$B$75:$I$81,4,0)*1000+IF(AND(MOD(H1790,30)&lt;0.5,MOD(H1790,30)&gt;=0.02),H1790,0)*VLOOKUP(D1790,'报价表-配送'!$B$75:$I$81,3,0)*1000+IF(AND(MOD(H1790,30)&lt;0.02),H1790,0)*VLOOKUP(D1790,'报价表-配送'!$B$75:$I$81,2,0)*1000</f>
        <v>0</v>
      </c>
      <c r="N1790" s="38">
        <f t="shared" si="27"/>
        <v>0</v>
      </c>
    </row>
    <row r="1791" spans="1:14" x14ac:dyDescent="0.25">
      <c r="A1791" t="s">
        <v>77</v>
      </c>
      <c r="B1791" s="43" t="s">
        <v>171</v>
      </c>
      <c r="C1791" s="62">
        <f>VLOOKUP(B1791,合并仓明细!$D$2:$F$74,3,0)</f>
        <v>360</v>
      </c>
      <c r="D1791" t="s">
        <v>410</v>
      </c>
      <c r="E1791" s="43" t="s">
        <v>338</v>
      </c>
      <c r="F1791" t="s">
        <v>66</v>
      </c>
      <c r="G1791" s="42">
        <v>5.45</v>
      </c>
      <c r="H1791">
        <v>5.45E-3</v>
      </c>
      <c r="K1791" s="1"/>
      <c r="L1791" s="37">
        <f>IF(H1791&gt;30,QUOTIENT(H1791,30)*VLOOKUP(D1791,'报价表-配送'!$B$75:$I$81,8,0),0)+IF(AND(MOD(H1791,30)&gt;18,MOD(H1791,30)&lt;=30),1,0)*VLOOKUP(D1791,'报价表-配送'!$B$75:$I$81,8,0)+IF(AND(MOD(H1791,30)&gt;8,MOD(H1791,30)&lt;=18),1*VLOOKUP(D1791,'报价表-配送'!$B$75:$I$81,7,0),0)+IF(AND(MOD(H1791,30)&lt;=8,MOD(H1791,30)&gt;2.5),1,0)*VLOOKUP(D1791,'报价表-配送'!$B$75:$I$81,6,0)+IF(AND(MOD(H1791,30)&lt;=2.5,MOD(H1791,30)&gt;=1.5),1,0)*VLOOKUP(D1791,'报价表-配送'!$B$75:$I$81,5,0)</f>
        <v>0</v>
      </c>
      <c r="M1791" s="39">
        <f>IF(AND(MOD(H1791,30)&lt;1.5,MOD(H1791,30)&gt;=0.5),H1791,0)*VLOOKUP(D1791,'报价表-配送'!$B$75:$I$81,4,0)*1000+IF(AND(MOD(H1791,30)&lt;0.5,MOD(H1791,30)&gt;=0.02),H1791,0)*VLOOKUP(D1791,'报价表-配送'!$B$75:$I$81,3,0)*1000+IF(AND(MOD(H1791,30)&lt;0.02),H1791,0)*VLOOKUP(D1791,'报价表-配送'!$B$75:$I$81,2,0)*1000</f>
        <v>0</v>
      </c>
      <c r="N1791" s="38">
        <f t="shared" si="27"/>
        <v>0</v>
      </c>
    </row>
    <row r="1792" spans="1:14" x14ac:dyDescent="0.25">
      <c r="A1792" t="s">
        <v>77</v>
      </c>
      <c r="B1792" s="43" t="s">
        <v>171</v>
      </c>
      <c r="C1792" s="62">
        <f>VLOOKUP(B1792,合并仓明细!$D$2:$F$74,3,0)</f>
        <v>360</v>
      </c>
      <c r="D1792" t="s">
        <v>410</v>
      </c>
      <c r="E1792" s="43" t="s">
        <v>323</v>
      </c>
      <c r="F1792" t="s">
        <v>66</v>
      </c>
      <c r="G1792" s="42">
        <v>14.51</v>
      </c>
      <c r="H1792">
        <v>1.451E-2</v>
      </c>
      <c r="K1792" s="1"/>
      <c r="L1792" s="37">
        <f>IF(H1792&gt;30,QUOTIENT(H1792,30)*VLOOKUP(D1792,'报价表-配送'!$B$75:$I$81,8,0),0)+IF(AND(MOD(H1792,30)&gt;18,MOD(H1792,30)&lt;=30),1,0)*VLOOKUP(D1792,'报价表-配送'!$B$75:$I$81,8,0)+IF(AND(MOD(H1792,30)&gt;8,MOD(H1792,30)&lt;=18),1*VLOOKUP(D1792,'报价表-配送'!$B$75:$I$81,7,0),0)+IF(AND(MOD(H1792,30)&lt;=8,MOD(H1792,30)&gt;2.5),1,0)*VLOOKUP(D1792,'报价表-配送'!$B$75:$I$81,6,0)+IF(AND(MOD(H1792,30)&lt;=2.5,MOD(H1792,30)&gt;=1.5),1,0)*VLOOKUP(D1792,'报价表-配送'!$B$75:$I$81,5,0)</f>
        <v>0</v>
      </c>
      <c r="M1792" s="39">
        <f>IF(AND(MOD(H1792,30)&lt;1.5,MOD(H1792,30)&gt;=0.5),H1792,0)*VLOOKUP(D1792,'报价表-配送'!$B$75:$I$81,4,0)*1000+IF(AND(MOD(H1792,30)&lt;0.5,MOD(H1792,30)&gt;=0.02),H1792,0)*VLOOKUP(D1792,'报价表-配送'!$B$75:$I$81,3,0)*1000+IF(AND(MOD(H1792,30)&lt;0.02),H1792,0)*VLOOKUP(D1792,'报价表-配送'!$B$75:$I$81,2,0)*1000</f>
        <v>0</v>
      </c>
      <c r="N1792" s="38">
        <f t="shared" si="27"/>
        <v>0</v>
      </c>
    </row>
    <row r="1793" spans="1:14" x14ac:dyDescent="0.25">
      <c r="A1793" t="s">
        <v>77</v>
      </c>
      <c r="B1793" s="43" t="s">
        <v>171</v>
      </c>
      <c r="C1793" s="62">
        <f>VLOOKUP(B1793,合并仓明细!$D$2:$F$74,3,0)</f>
        <v>360</v>
      </c>
      <c r="D1793" t="s">
        <v>410</v>
      </c>
      <c r="E1793" s="43" t="s">
        <v>313</v>
      </c>
      <c r="F1793" t="s">
        <v>66</v>
      </c>
      <c r="G1793" s="42">
        <v>1.46</v>
      </c>
      <c r="H1793">
        <v>1.4599999999999999E-3</v>
      </c>
      <c r="I1793" s="46"/>
      <c r="J1793" s="38"/>
      <c r="K1793" s="38"/>
      <c r="L1793" s="37">
        <f>IF(H1793&gt;30,QUOTIENT(H1793,30)*VLOOKUP(D1793,'报价表-配送'!$B$75:$I$81,8,0),0)+IF(AND(MOD(H1793,30)&gt;18,MOD(H1793,30)&lt;=30),1,0)*VLOOKUP(D1793,'报价表-配送'!$B$75:$I$81,8,0)+IF(AND(MOD(H1793,30)&gt;8,MOD(H1793,30)&lt;=18),1*VLOOKUP(D1793,'报价表-配送'!$B$75:$I$81,7,0),0)+IF(AND(MOD(H1793,30)&lt;=8,MOD(H1793,30)&gt;2.5),1,0)*VLOOKUP(D1793,'报价表-配送'!$B$75:$I$81,6,0)+IF(AND(MOD(H1793,30)&lt;=2.5,MOD(H1793,30)&gt;=1.5),1,0)*VLOOKUP(D1793,'报价表-配送'!$B$75:$I$81,5,0)</f>
        <v>0</v>
      </c>
      <c r="M1793" s="39">
        <f>IF(AND(MOD(H1793,30)&lt;1.5,MOD(H1793,30)&gt;=0.5),H1793,0)*VLOOKUP(D1793,'报价表-配送'!$B$75:$I$81,4,0)*1000+IF(AND(MOD(H1793,30)&lt;0.5,MOD(H1793,30)&gt;=0.02),H1793,0)*VLOOKUP(D1793,'报价表-配送'!$B$75:$I$81,3,0)*1000+IF(AND(MOD(H1793,30)&lt;0.02),H1793,0)*VLOOKUP(D1793,'报价表-配送'!$B$75:$I$81,2,0)*1000</f>
        <v>0</v>
      </c>
      <c r="N1793" s="38">
        <f t="shared" si="27"/>
        <v>0</v>
      </c>
    </row>
    <row r="1794" spans="1:14" x14ac:dyDescent="0.25">
      <c r="A1794" t="s">
        <v>77</v>
      </c>
      <c r="B1794" s="43" t="s">
        <v>171</v>
      </c>
      <c r="C1794" s="62">
        <f>VLOOKUP(B1794,合并仓明细!$D$2:$F$74,3,0)</f>
        <v>360</v>
      </c>
      <c r="D1794" t="s">
        <v>410</v>
      </c>
      <c r="E1794" s="43" t="s">
        <v>284</v>
      </c>
      <c r="F1794" t="s">
        <v>66</v>
      </c>
      <c r="G1794" s="42">
        <v>0.8</v>
      </c>
      <c r="H1794">
        <v>8.0000000000000004E-4</v>
      </c>
      <c r="K1794" s="1"/>
      <c r="L1794" s="37">
        <f>IF(H1794&gt;30,QUOTIENT(H1794,30)*VLOOKUP(D1794,'报价表-配送'!$B$75:$I$81,8,0),0)+IF(AND(MOD(H1794,30)&gt;18,MOD(H1794,30)&lt;=30),1,0)*VLOOKUP(D1794,'报价表-配送'!$B$75:$I$81,8,0)+IF(AND(MOD(H1794,30)&gt;8,MOD(H1794,30)&lt;=18),1*VLOOKUP(D1794,'报价表-配送'!$B$75:$I$81,7,0),0)+IF(AND(MOD(H1794,30)&lt;=8,MOD(H1794,30)&gt;2.5),1,0)*VLOOKUP(D1794,'报价表-配送'!$B$75:$I$81,6,0)+IF(AND(MOD(H1794,30)&lt;=2.5,MOD(H1794,30)&gt;=1.5),1,0)*VLOOKUP(D1794,'报价表-配送'!$B$75:$I$81,5,0)</f>
        <v>0</v>
      </c>
      <c r="M1794" s="39">
        <f>IF(AND(MOD(H1794,30)&lt;1.5,MOD(H1794,30)&gt;=0.5),H1794,0)*VLOOKUP(D1794,'报价表-配送'!$B$75:$I$81,4,0)*1000+IF(AND(MOD(H1794,30)&lt;0.5,MOD(H1794,30)&gt;=0.02),H1794,0)*VLOOKUP(D1794,'报价表-配送'!$B$75:$I$81,3,0)*1000+IF(AND(MOD(H1794,30)&lt;0.02),H1794,0)*VLOOKUP(D1794,'报价表-配送'!$B$75:$I$81,2,0)*1000</f>
        <v>0</v>
      </c>
      <c r="N1794" s="38">
        <f t="shared" si="27"/>
        <v>0</v>
      </c>
    </row>
    <row r="1795" spans="1:14" x14ac:dyDescent="0.25">
      <c r="A1795" t="s">
        <v>77</v>
      </c>
      <c r="B1795" s="43" t="s">
        <v>171</v>
      </c>
      <c r="C1795" s="62">
        <f>VLOOKUP(B1795,合并仓明细!$D$2:$F$74,3,0)</f>
        <v>360</v>
      </c>
      <c r="D1795" t="s">
        <v>410</v>
      </c>
      <c r="E1795" s="43" t="s">
        <v>247</v>
      </c>
      <c r="F1795" t="s">
        <v>66</v>
      </c>
      <c r="G1795" s="42">
        <v>32</v>
      </c>
      <c r="H1795">
        <v>3.2000000000000001E-2</v>
      </c>
      <c r="K1795" s="1"/>
      <c r="L1795" s="37">
        <f>IF(H1795&gt;30,QUOTIENT(H1795,30)*VLOOKUP(D1795,'报价表-配送'!$B$75:$I$81,8,0),0)+IF(AND(MOD(H1795,30)&gt;18,MOD(H1795,30)&lt;=30),1,0)*VLOOKUP(D1795,'报价表-配送'!$B$75:$I$81,8,0)+IF(AND(MOD(H1795,30)&gt;8,MOD(H1795,30)&lt;=18),1*VLOOKUP(D1795,'报价表-配送'!$B$75:$I$81,7,0),0)+IF(AND(MOD(H1795,30)&lt;=8,MOD(H1795,30)&gt;2.5),1,0)*VLOOKUP(D1795,'报价表-配送'!$B$75:$I$81,6,0)+IF(AND(MOD(H1795,30)&lt;=2.5,MOD(H1795,30)&gt;=1.5),1,0)*VLOOKUP(D1795,'报价表-配送'!$B$75:$I$81,5,0)</f>
        <v>0</v>
      </c>
      <c r="M1795" s="39">
        <f>IF(AND(MOD(H1795,30)&lt;1.5,MOD(H1795,30)&gt;=0.5),H1795,0)*VLOOKUP(D1795,'报价表-配送'!$B$75:$I$81,4,0)*1000+IF(AND(MOD(H1795,30)&lt;0.5,MOD(H1795,30)&gt;=0.02),H1795,0)*VLOOKUP(D1795,'报价表-配送'!$B$75:$I$81,3,0)*1000+IF(AND(MOD(H1795,30)&lt;0.02),H1795,0)*VLOOKUP(D1795,'报价表-配送'!$B$75:$I$81,2,0)*1000</f>
        <v>0</v>
      </c>
      <c r="N1795" s="38">
        <f t="shared" si="27"/>
        <v>0</v>
      </c>
    </row>
    <row r="1796" spans="1:14" x14ac:dyDescent="0.25">
      <c r="A1796" t="s">
        <v>77</v>
      </c>
      <c r="B1796" s="43" t="s">
        <v>171</v>
      </c>
      <c r="C1796" s="62">
        <f>VLOOKUP(B1796,合并仓明细!$D$2:$F$74,3,0)</f>
        <v>360</v>
      </c>
      <c r="D1796" t="s">
        <v>410</v>
      </c>
      <c r="E1796" s="43" t="s">
        <v>315</v>
      </c>
      <c r="F1796" t="s">
        <v>68</v>
      </c>
      <c r="G1796" s="42">
        <v>439.8</v>
      </c>
      <c r="H1796">
        <v>0.62966000000000011</v>
      </c>
      <c r="I1796" s="46">
        <f>ROUNDUP(H1796/30,0)*VLOOKUP(D1796,'报价表-配送'!$B$75:$I$81,8,0)</f>
        <v>0</v>
      </c>
      <c r="J1796" s="38"/>
      <c r="K1796" s="38"/>
      <c r="L1796" s="37"/>
      <c r="M1796" s="38"/>
      <c r="N1796" s="38">
        <f t="shared" si="27"/>
        <v>0</v>
      </c>
    </row>
    <row r="1797" spans="1:14" x14ac:dyDescent="0.25">
      <c r="A1797" t="s">
        <v>77</v>
      </c>
      <c r="B1797" s="43" t="s">
        <v>171</v>
      </c>
      <c r="C1797" s="62">
        <f>VLOOKUP(B1797,合并仓明细!$D$2:$F$74,3,0)</f>
        <v>360</v>
      </c>
      <c r="D1797" t="s">
        <v>410</v>
      </c>
      <c r="E1797" s="43" t="s">
        <v>315</v>
      </c>
      <c r="F1797" t="s">
        <v>66</v>
      </c>
      <c r="G1797" s="42">
        <v>189.86</v>
      </c>
      <c r="H1797"/>
      <c r="K1797" s="1"/>
      <c r="L1797" s="33"/>
      <c r="M1797" s="1"/>
      <c r="N1797" s="38">
        <f t="shared" si="27"/>
        <v>0</v>
      </c>
    </row>
    <row r="1798" spans="1:14" x14ac:dyDescent="0.25">
      <c r="A1798" t="s">
        <v>77</v>
      </c>
      <c r="B1798" s="43" t="s">
        <v>171</v>
      </c>
      <c r="C1798" s="62">
        <f>VLOOKUP(B1798,合并仓明细!$D$2:$F$74,3,0)</f>
        <v>360</v>
      </c>
      <c r="D1798" t="s">
        <v>410</v>
      </c>
      <c r="E1798" s="43" t="s">
        <v>248</v>
      </c>
      <c r="F1798" t="s">
        <v>66</v>
      </c>
      <c r="G1798" s="42">
        <v>2.6</v>
      </c>
      <c r="H1798">
        <v>2.5999999999999999E-3</v>
      </c>
      <c r="K1798" s="1"/>
      <c r="L1798" s="37">
        <f>IF(H1798&gt;30,QUOTIENT(H1798,30)*VLOOKUP(D1798,'报价表-配送'!$B$75:$I$81,8,0),0)+IF(AND(MOD(H1798,30)&gt;18,MOD(H1798,30)&lt;=30),1,0)*VLOOKUP(D1798,'报价表-配送'!$B$75:$I$81,8,0)+IF(AND(MOD(H1798,30)&gt;8,MOD(H1798,30)&lt;=18),1*VLOOKUP(D1798,'报价表-配送'!$B$75:$I$81,7,0),0)+IF(AND(MOD(H1798,30)&lt;=8,MOD(H1798,30)&gt;2.5),1,0)*VLOOKUP(D1798,'报价表-配送'!$B$75:$I$81,6,0)+IF(AND(MOD(H1798,30)&lt;=2.5,MOD(H1798,30)&gt;=1.5),1,0)*VLOOKUP(D1798,'报价表-配送'!$B$75:$I$81,5,0)</f>
        <v>0</v>
      </c>
      <c r="M1798" s="39">
        <f>IF(AND(MOD(H1798,30)&lt;1.5,MOD(H1798,30)&gt;=0.5),H1798,0)*VLOOKUP(D1798,'报价表-配送'!$B$75:$I$81,4,0)*1000+IF(AND(MOD(H1798,30)&lt;0.5,MOD(H1798,30)&gt;=0.02),H1798,0)*VLOOKUP(D1798,'报价表-配送'!$B$75:$I$81,3,0)*1000+IF(AND(MOD(H1798,30)&lt;0.02),H1798,0)*VLOOKUP(D1798,'报价表-配送'!$B$75:$I$81,2,0)*1000</f>
        <v>0</v>
      </c>
      <c r="N1798" s="38">
        <f t="shared" si="27"/>
        <v>0</v>
      </c>
    </row>
    <row r="1799" spans="1:14" x14ac:dyDescent="0.25">
      <c r="A1799" t="s">
        <v>77</v>
      </c>
      <c r="B1799" s="43" t="s">
        <v>171</v>
      </c>
      <c r="C1799" s="62">
        <f>VLOOKUP(B1799,合并仓明细!$D$2:$F$74,3,0)</f>
        <v>360</v>
      </c>
      <c r="D1799" t="s">
        <v>410</v>
      </c>
      <c r="E1799" s="43" t="s">
        <v>291</v>
      </c>
      <c r="F1799" t="s">
        <v>67</v>
      </c>
      <c r="G1799" s="42">
        <v>3214.29</v>
      </c>
      <c r="H1799">
        <v>3.2397900000000002</v>
      </c>
      <c r="I1799" s="38">
        <f>IF(H1799&gt;30,QUOTIENT(H1799,30)*VLOOKUP(D1799,'报价表-配送'!$B$75:$I$81,8,0),0)+IF(AND(MOD(H1799,30)&gt;18,MOD(H1799,30)&lt;=30),1,0)*VLOOKUP(D1799,'报价表-配送'!$B$75:$I$81,8,0)</f>
        <v>0</v>
      </c>
      <c r="J1799" s="38">
        <f>IF(AND(MOD(H1799,30)&gt;8,MOD(H1799,30)&lt;=18),1*VLOOKUP(D1799,'报价表-配送'!$B$75:$I$81,7,0),0)</f>
        <v>0</v>
      </c>
      <c r="K1799" s="38">
        <f>IF(AND(MOD(H1799,30)&lt;=8,MOD(H1799,30)&gt;0),1,0)*VLOOKUP(D1799,'报价表-配送'!$B$75:$I$81,6,0)</f>
        <v>0</v>
      </c>
      <c r="L1799" s="37"/>
      <c r="M1799" s="38"/>
      <c r="N1799" s="38">
        <f t="shared" si="27"/>
        <v>0</v>
      </c>
    </row>
    <row r="1800" spans="1:14" x14ac:dyDescent="0.25">
      <c r="A1800" t="s">
        <v>77</v>
      </c>
      <c r="B1800" s="43" t="s">
        <v>171</v>
      </c>
      <c r="C1800" s="62">
        <f>VLOOKUP(B1800,合并仓明细!$D$2:$F$74,3,0)</f>
        <v>360</v>
      </c>
      <c r="D1800" t="s">
        <v>410</v>
      </c>
      <c r="E1800" s="43" t="s">
        <v>291</v>
      </c>
      <c r="F1800" t="s">
        <v>66</v>
      </c>
      <c r="G1800" s="42">
        <v>25.5</v>
      </c>
      <c r="H1800"/>
      <c r="K1800" s="1"/>
      <c r="L1800" s="33"/>
      <c r="M1800" s="1"/>
      <c r="N1800" s="38">
        <f t="shared" si="27"/>
        <v>0</v>
      </c>
    </row>
    <row r="1801" spans="1:14" x14ac:dyDescent="0.25">
      <c r="A1801" t="s">
        <v>77</v>
      </c>
      <c r="B1801" s="43" t="s">
        <v>171</v>
      </c>
      <c r="C1801" s="62">
        <f>VLOOKUP(B1801,合并仓明细!$D$2:$F$74,3,0)</f>
        <v>360</v>
      </c>
      <c r="D1801" t="s">
        <v>410</v>
      </c>
      <c r="E1801" s="43" t="s">
        <v>292</v>
      </c>
      <c r="F1801" t="s">
        <v>66</v>
      </c>
      <c r="G1801" s="42">
        <v>63.95</v>
      </c>
      <c r="H1801">
        <v>6.3950000000000007E-2</v>
      </c>
      <c r="K1801" s="1"/>
      <c r="L1801" s="37">
        <f>IF(H1801&gt;30,QUOTIENT(H1801,30)*VLOOKUP(D1801,'报价表-配送'!$B$75:$I$81,8,0),0)+IF(AND(MOD(H1801,30)&gt;18,MOD(H1801,30)&lt;=30),1,0)*VLOOKUP(D1801,'报价表-配送'!$B$75:$I$81,8,0)+IF(AND(MOD(H1801,30)&gt;8,MOD(H1801,30)&lt;=18),1*VLOOKUP(D1801,'报价表-配送'!$B$75:$I$81,7,0),0)+IF(AND(MOD(H1801,30)&lt;=8,MOD(H1801,30)&gt;2.5),1,0)*VLOOKUP(D1801,'报价表-配送'!$B$75:$I$81,6,0)+IF(AND(MOD(H1801,30)&lt;=2.5,MOD(H1801,30)&gt;=1.5),1,0)*VLOOKUP(D1801,'报价表-配送'!$B$75:$I$81,5,0)</f>
        <v>0</v>
      </c>
      <c r="M1801" s="39">
        <f>IF(AND(MOD(H1801,30)&lt;1.5,MOD(H1801,30)&gt;=0.5),H1801,0)*VLOOKUP(D1801,'报价表-配送'!$B$75:$I$81,4,0)*1000+IF(AND(MOD(H1801,30)&lt;0.5,MOD(H1801,30)&gt;=0.02),H1801,0)*VLOOKUP(D1801,'报价表-配送'!$B$75:$I$81,3,0)*1000+IF(AND(MOD(H1801,30)&lt;0.02),H1801,0)*VLOOKUP(D1801,'报价表-配送'!$B$75:$I$81,2,0)*1000</f>
        <v>0</v>
      </c>
      <c r="N1801" s="38">
        <f t="shared" si="27"/>
        <v>0</v>
      </c>
    </row>
    <row r="1802" spans="1:14" x14ac:dyDescent="0.25">
      <c r="A1802" t="s">
        <v>77</v>
      </c>
      <c r="B1802" s="45" t="s">
        <v>171</v>
      </c>
      <c r="C1802" s="62">
        <f>VLOOKUP(B1802,合并仓明细!$D$2:$F$74,3,0)</f>
        <v>360</v>
      </c>
      <c r="D1802" t="s">
        <v>410</v>
      </c>
      <c r="E1802" s="43" t="s">
        <v>293</v>
      </c>
      <c r="F1802" t="s">
        <v>66</v>
      </c>
      <c r="G1802" s="42">
        <v>1.24</v>
      </c>
      <c r="H1802">
        <v>1.24E-3</v>
      </c>
      <c r="K1802" s="1"/>
      <c r="L1802" s="37">
        <f>IF(H1802&gt;30,QUOTIENT(H1802,30)*VLOOKUP(D1802,'报价表-配送'!$B$75:$I$81,8,0),0)+IF(AND(MOD(H1802,30)&gt;18,MOD(H1802,30)&lt;=30),1,0)*VLOOKUP(D1802,'报价表-配送'!$B$75:$I$81,8,0)+IF(AND(MOD(H1802,30)&gt;8,MOD(H1802,30)&lt;=18),1*VLOOKUP(D1802,'报价表-配送'!$B$75:$I$81,7,0),0)+IF(AND(MOD(H1802,30)&lt;=8,MOD(H1802,30)&gt;2.5),1,0)*VLOOKUP(D1802,'报价表-配送'!$B$75:$I$81,6,0)+IF(AND(MOD(H1802,30)&lt;=2.5,MOD(H1802,30)&gt;=1.5),1,0)*VLOOKUP(D1802,'报价表-配送'!$B$75:$I$81,5,0)</f>
        <v>0</v>
      </c>
      <c r="M1802" s="39">
        <f>IF(AND(MOD(H1802,30)&lt;1.5,MOD(H1802,30)&gt;=0.5),H1802,0)*VLOOKUP(D1802,'报价表-配送'!$B$75:$I$81,4,0)*1000+IF(AND(MOD(H1802,30)&lt;0.5,MOD(H1802,30)&gt;=0.02),H1802,0)*VLOOKUP(D1802,'报价表-配送'!$B$75:$I$81,3,0)*1000+IF(AND(MOD(H1802,30)&lt;0.02),H1802,0)*VLOOKUP(D1802,'报价表-配送'!$B$75:$I$81,2,0)*1000</f>
        <v>0</v>
      </c>
      <c r="N1802" s="38">
        <f t="shared" si="27"/>
        <v>0</v>
      </c>
    </row>
    <row r="1803" spans="1:14" x14ac:dyDescent="0.25">
      <c r="A1803" s="56" t="s">
        <v>77</v>
      </c>
      <c r="B1803" s="44" t="s">
        <v>171</v>
      </c>
      <c r="C1803" s="62">
        <f>VLOOKUP(B1803,合并仓明细!$D$2:$F$74,3,0)</f>
        <v>360</v>
      </c>
      <c r="D1803" t="s">
        <v>410</v>
      </c>
      <c r="E1803" s="43" t="s">
        <v>353</v>
      </c>
      <c r="F1803" t="s">
        <v>68</v>
      </c>
      <c r="G1803" s="42">
        <v>1440.96</v>
      </c>
      <c r="H1803">
        <v>2.4154599999999999</v>
      </c>
      <c r="I1803" s="46">
        <f>ROUNDUP(H1803/30,0)*VLOOKUP(D1803,'报价表-配送'!$B$75:$I$81,8,0)</f>
        <v>0</v>
      </c>
      <c r="N1803" s="38">
        <f t="shared" si="27"/>
        <v>0</v>
      </c>
    </row>
    <row r="1804" spans="1:14" x14ac:dyDescent="0.25">
      <c r="A1804" s="56" t="s">
        <v>77</v>
      </c>
      <c r="B1804" s="43" t="s">
        <v>171</v>
      </c>
      <c r="C1804" s="62">
        <f>VLOOKUP(B1804,合并仓明细!$D$2:$F$74,3,0)</f>
        <v>360</v>
      </c>
      <c r="D1804" t="s">
        <v>410</v>
      </c>
      <c r="E1804" s="43" t="s">
        <v>353</v>
      </c>
      <c r="F1804" t="s">
        <v>67</v>
      </c>
      <c r="G1804" s="42">
        <v>921.39</v>
      </c>
      <c r="H1804"/>
      <c r="N1804" s="38">
        <f t="shared" si="27"/>
        <v>0</v>
      </c>
    </row>
    <row r="1805" spans="1:14" x14ac:dyDescent="0.25">
      <c r="A1805" s="56" t="s">
        <v>77</v>
      </c>
      <c r="B1805" s="43" t="s">
        <v>171</v>
      </c>
      <c r="C1805" s="62">
        <f>VLOOKUP(B1805,合并仓明细!$D$2:$F$74,3,0)</f>
        <v>360</v>
      </c>
      <c r="D1805" t="s">
        <v>410</v>
      </c>
      <c r="E1805" s="43" t="s">
        <v>353</v>
      </c>
      <c r="F1805" t="s">
        <v>66</v>
      </c>
      <c r="G1805" s="42">
        <v>53.11</v>
      </c>
      <c r="H1805"/>
      <c r="N1805" s="38">
        <f t="shared" si="27"/>
        <v>0</v>
      </c>
    </row>
    <row r="1806" spans="1:14" x14ac:dyDescent="0.25">
      <c r="A1806" s="56" t="s">
        <v>77</v>
      </c>
      <c r="B1806" s="43" t="s">
        <v>171</v>
      </c>
      <c r="C1806" s="62">
        <f>VLOOKUP(B1806,合并仓明细!$D$2:$F$74,3,0)</f>
        <v>360</v>
      </c>
      <c r="D1806" t="s">
        <v>410</v>
      </c>
      <c r="E1806" s="43" t="s">
        <v>249</v>
      </c>
      <c r="F1806" t="s">
        <v>66</v>
      </c>
      <c r="G1806" s="42">
        <v>29.76</v>
      </c>
      <c r="H1806">
        <v>2.9760000000000002E-2</v>
      </c>
      <c r="I1806" s="46"/>
      <c r="L1806" s="37">
        <f>IF(H1806&gt;30,QUOTIENT(H1806,30)*VLOOKUP(D1806,'报价表-配送'!$B$75:$I$81,8,0),0)+IF(AND(MOD(H1806,30)&gt;18,MOD(H1806,30)&lt;=30),1,0)*VLOOKUP(D1806,'报价表-配送'!$B$75:$I$81,8,0)+IF(AND(MOD(H1806,30)&gt;8,MOD(H1806,30)&lt;=18),1*VLOOKUP(D1806,'报价表-配送'!$B$75:$I$81,7,0),0)+IF(AND(MOD(H1806,30)&lt;=8,MOD(H1806,30)&gt;2.5),1,0)*VLOOKUP(D1806,'报价表-配送'!$B$75:$I$81,6,0)+IF(AND(MOD(H1806,30)&lt;=2.5,MOD(H1806,30)&gt;=1.5),1,0)*VLOOKUP(D1806,'报价表-配送'!$B$75:$I$81,5,0)</f>
        <v>0</v>
      </c>
      <c r="M1806" s="39">
        <f>IF(AND(MOD(H1806,30)&lt;1.5,MOD(H1806,30)&gt;=0.5),H1806,0)*VLOOKUP(D1806,'报价表-配送'!$B$75:$I$81,4,0)*1000+IF(AND(MOD(H1806,30)&lt;0.5,MOD(H1806,30)&gt;=0.02),H1806,0)*VLOOKUP(D1806,'报价表-配送'!$B$75:$I$81,3,0)*1000+IF(AND(MOD(H1806,30)&lt;0.02),H1806,0)*VLOOKUP(D1806,'报价表-配送'!$B$75:$I$81,2,0)*1000</f>
        <v>0</v>
      </c>
      <c r="N1806" s="38">
        <f t="shared" si="27"/>
        <v>0</v>
      </c>
    </row>
    <row r="1807" spans="1:14" x14ac:dyDescent="0.25">
      <c r="A1807" s="56" t="s">
        <v>77</v>
      </c>
      <c r="B1807" s="43" t="s">
        <v>171</v>
      </c>
      <c r="C1807" s="62">
        <f>VLOOKUP(B1807,合并仓明细!$D$2:$F$74,3,0)</f>
        <v>360</v>
      </c>
      <c r="D1807" t="s">
        <v>410</v>
      </c>
      <c r="E1807" s="43" t="s">
        <v>325</v>
      </c>
      <c r="F1807" t="s">
        <v>66</v>
      </c>
      <c r="G1807" s="42">
        <v>55.589999999999996</v>
      </c>
      <c r="H1807">
        <v>5.5589999999999994E-2</v>
      </c>
      <c r="L1807" s="37">
        <f>IF(H1807&gt;30,QUOTIENT(H1807,30)*VLOOKUP(D1807,'报价表-配送'!$B$75:$I$81,8,0),0)+IF(AND(MOD(H1807,30)&gt;18,MOD(H1807,30)&lt;=30),1,0)*VLOOKUP(D1807,'报价表-配送'!$B$75:$I$81,8,0)+IF(AND(MOD(H1807,30)&gt;8,MOD(H1807,30)&lt;=18),1*VLOOKUP(D1807,'报价表-配送'!$B$75:$I$81,7,0),0)+IF(AND(MOD(H1807,30)&lt;=8,MOD(H1807,30)&gt;2.5),1,0)*VLOOKUP(D1807,'报价表-配送'!$B$75:$I$81,6,0)+IF(AND(MOD(H1807,30)&lt;=2.5,MOD(H1807,30)&gt;=1.5),1,0)*VLOOKUP(D1807,'报价表-配送'!$B$75:$I$81,5,0)</f>
        <v>0</v>
      </c>
      <c r="M1807" s="39">
        <f>IF(AND(MOD(H1807,30)&lt;1.5,MOD(H1807,30)&gt;=0.5),H1807,0)*VLOOKUP(D1807,'报价表-配送'!$B$75:$I$81,4,0)*1000+IF(AND(MOD(H1807,30)&lt;0.5,MOD(H1807,30)&gt;=0.02),H1807,0)*VLOOKUP(D1807,'报价表-配送'!$B$75:$I$81,3,0)*1000+IF(AND(MOD(H1807,30)&lt;0.02),H1807,0)*VLOOKUP(D1807,'报价表-配送'!$B$75:$I$81,2,0)*1000</f>
        <v>0</v>
      </c>
      <c r="N1807" s="38">
        <f t="shared" si="27"/>
        <v>0</v>
      </c>
    </row>
    <row r="1808" spans="1:14" x14ac:dyDescent="0.25">
      <c r="A1808" s="56" t="s">
        <v>77</v>
      </c>
      <c r="B1808" s="43" t="s">
        <v>171</v>
      </c>
      <c r="C1808" s="62">
        <f>VLOOKUP(B1808,合并仓明细!$D$2:$F$74,3,0)</f>
        <v>360</v>
      </c>
      <c r="D1808" t="s">
        <v>410</v>
      </c>
      <c r="E1808" s="43" t="s">
        <v>326</v>
      </c>
      <c r="F1808" t="s">
        <v>66</v>
      </c>
      <c r="G1808" s="42">
        <v>28.310000000000002</v>
      </c>
      <c r="H1808">
        <v>2.8310000000000002E-2</v>
      </c>
      <c r="L1808" s="37">
        <f>IF(H1808&gt;30,QUOTIENT(H1808,30)*VLOOKUP(D1808,'报价表-配送'!$B$75:$I$81,8,0),0)+IF(AND(MOD(H1808,30)&gt;18,MOD(H1808,30)&lt;=30),1,0)*VLOOKUP(D1808,'报价表-配送'!$B$75:$I$81,8,0)+IF(AND(MOD(H1808,30)&gt;8,MOD(H1808,30)&lt;=18),1*VLOOKUP(D1808,'报价表-配送'!$B$75:$I$81,7,0),0)+IF(AND(MOD(H1808,30)&lt;=8,MOD(H1808,30)&gt;2.5),1,0)*VLOOKUP(D1808,'报价表-配送'!$B$75:$I$81,6,0)+IF(AND(MOD(H1808,30)&lt;=2.5,MOD(H1808,30)&gt;=1.5),1,0)*VLOOKUP(D1808,'报价表-配送'!$B$75:$I$81,5,0)</f>
        <v>0</v>
      </c>
      <c r="M1808" s="39">
        <f>IF(AND(MOD(H1808,30)&lt;1.5,MOD(H1808,30)&gt;=0.5),H1808,0)*VLOOKUP(D1808,'报价表-配送'!$B$75:$I$81,4,0)*1000+IF(AND(MOD(H1808,30)&lt;0.5,MOD(H1808,30)&gt;=0.02),H1808,0)*VLOOKUP(D1808,'报价表-配送'!$B$75:$I$81,3,0)*1000+IF(AND(MOD(H1808,30)&lt;0.02),H1808,0)*VLOOKUP(D1808,'报价表-配送'!$B$75:$I$81,2,0)*1000</f>
        <v>0</v>
      </c>
      <c r="N1808" s="38">
        <f t="shared" si="27"/>
        <v>0</v>
      </c>
    </row>
    <row r="1809" spans="1:14" x14ac:dyDescent="0.25">
      <c r="A1809" s="56" t="s">
        <v>77</v>
      </c>
      <c r="B1809" s="43" t="s">
        <v>171</v>
      </c>
      <c r="C1809" s="62">
        <f>VLOOKUP(B1809,合并仓明细!$D$2:$F$74,3,0)</f>
        <v>360</v>
      </c>
      <c r="D1809" t="s">
        <v>410</v>
      </c>
      <c r="E1809" s="43" t="s">
        <v>298</v>
      </c>
      <c r="F1809" t="s">
        <v>66</v>
      </c>
      <c r="G1809" s="111">
        <v>1518.18</v>
      </c>
      <c r="H1809" s="103">
        <v>1.5181800000000001</v>
      </c>
      <c r="I1809" s="46"/>
      <c r="L1809" s="37">
        <f>IF(H1809&gt;30,QUOTIENT(H1809,30)*VLOOKUP(D1809,'报价表-配送'!$B$75:$I$81,8,0),0)+IF(AND(MOD(H1809,30)&gt;18,MOD(H1809,30)&lt;=30),1,0)*VLOOKUP(D1809,'报价表-配送'!$B$75:$I$81,8,0)+IF(AND(MOD(H1809,30)&gt;8,MOD(H1809,30)&lt;=18),1*VLOOKUP(D1809,'报价表-配送'!$B$75:$I$81,7,0),0)+IF(AND(MOD(H1809,30)&lt;=8,MOD(H1809,30)&gt;2.5),1,0)*VLOOKUP(D1809,'报价表-配送'!$B$75:$I$81,6,0)+IF(AND(MOD(H1809,30)&lt;=2.5,MOD(H1809,30)&gt;=1.5),1,0)*VLOOKUP(D1809,'报价表-配送'!$B$75:$I$81,5,0)</f>
        <v>0</v>
      </c>
      <c r="M1809" s="39">
        <f>IF(AND(MOD(H1809,30)&lt;1.5,MOD(H1809,30)&gt;=0.5),H1809,0)*VLOOKUP(D1809,'报价表-配送'!$B$75:$I$81,4,0)*1000+IF(AND(MOD(H1809,30)&lt;0.5,MOD(H1809,30)&gt;=0.02),H1809,0)*VLOOKUP(D1809,'报价表-配送'!$B$75:$I$81,3,0)*1000+IF(AND(MOD(H1809,30)&lt;0.02),H1809,0)*VLOOKUP(D1809,'报价表-配送'!$B$75:$I$81,2,0)*1000</f>
        <v>0</v>
      </c>
      <c r="N1809" s="38">
        <f t="shared" si="27"/>
        <v>0</v>
      </c>
    </row>
    <row r="1810" spans="1:14" x14ac:dyDescent="0.25">
      <c r="A1810" s="56" t="s">
        <v>77</v>
      </c>
      <c r="B1810" s="43" t="s">
        <v>171</v>
      </c>
      <c r="C1810" s="62">
        <f>VLOOKUP(B1810,合并仓明细!$D$2:$F$74,3,0)</f>
        <v>360</v>
      </c>
      <c r="D1810" t="s">
        <v>410</v>
      </c>
      <c r="E1810" s="43" t="s">
        <v>299</v>
      </c>
      <c r="F1810" t="s">
        <v>66</v>
      </c>
      <c r="G1810" s="42">
        <v>56</v>
      </c>
      <c r="H1810">
        <v>5.6000000000000001E-2</v>
      </c>
      <c r="L1810" s="37">
        <f>IF(H1810&gt;30,QUOTIENT(H1810,30)*VLOOKUP(D1810,'报价表-配送'!$B$75:$I$81,8,0),0)+IF(AND(MOD(H1810,30)&gt;18,MOD(H1810,30)&lt;=30),1,0)*VLOOKUP(D1810,'报价表-配送'!$B$75:$I$81,8,0)+IF(AND(MOD(H1810,30)&gt;8,MOD(H1810,30)&lt;=18),1*VLOOKUP(D1810,'报价表-配送'!$B$75:$I$81,7,0),0)+IF(AND(MOD(H1810,30)&lt;=8,MOD(H1810,30)&gt;2.5),1,0)*VLOOKUP(D1810,'报价表-配送'!$B$75:$I$81,6,0)+IF(AND(MOD(H1810,30)&lt;=2.5,MOD(H1810,30)&gt;=1.5),1,0)*VLOOKUP(D1810,'报价表-配送'!$B$75:$I$81,5,0)</f>
        <v>0</v>
      </c>
      <c r="M1810" s="39">
        <f>IF(AND(MOD(H1810,30)&lt;1.5,MOD(H1810,30)&gt;=0.5),H1810,0)*VLOOKUP(D1810,'报价表-配送'!$B$75:$I$81,4,0)*1000+IF(AND(MOD(H1810,30)&lt;0.5,MOD(H1810,30)&gt;=0.02),H1810,0)*VLOOKUP(D1810,'报价表-配送'!$B$75:$I$81,3,0)*1000+IF(AND(MOD(H1810,30)&lt;0.02),H1810,0)*VLOOKUP(D1810,'报价表-配送'!$B$75:$I$81,2,0)*1000</f>
        <v>0</v>
      </c>
      <c r="N1810" s="38">
        <f t="shared" si="27"/>
        <v>0</v>
      </c>
    </row>
    <row r="1811" spans="1:14" x14ac:dyDescent="0.25">
      <c r="A1811" s="56" t="s">
        <v>77</v>
      </c>
      <c r="B1811" s="43" t="s">
        <v>171</v>
      </c>
      <c r="C1811" s="62">
        <f>VLOOKUP(B1811,合并仓明细!$D$2:$F$74,3,0)</f>
        <v>360</v>
      </c>
      <c r="D1811" t="s">
        <v>410</v>
      </c>
      <c r="E1811" s="43" t="s">
        <v>321</v>
      </c>
      <c r="F1811" t="s">
        <v>66</v>
      </c>
      <c r="G1811" s="42">
        <v>1</v>
      </c>
      <c r="H1811">
        <v>1E-3</v>
      </c>
      <c r="L1811" s="37">
        <f>IF(H1811&gt;30,QUOTIENT(H1811,30)*VLOOKUP(D1811,'报价表-配送'!$B$75:$I$81,8,0),0)+IF(AND(MOD(H1811,30)&gt;18,MOD(H1811,30)&lt;=30),1,0)*VLOOKUP(D1811,'报价表-配送'!$B$75:$I$81,8,0)+IF(AND(MOD(H1811,30)&gt;8,MOD(H1811,30)&lt;=18),1*VLOOKUP(D1811,'报价表-配送'!$B$75:$I$81,7,0),0)+IF(AND(MOD(H1811,30)&lt;=8,MOD(H1811,30)&gt;2.5),1,0)*VLOOKUP(D1811,'报价表-配送'!$B$75:$I$81,6,0)+IF(AND(MOD(H1811,30)&lt;=2.5,MOD(H1811,30)&gt;=1.5),1,0)*VLOOKUP(D1811,'报价表-配送'!$B$75:$I$81,5,0)</f>
        <v>0</v>
      </c>
      <c r="M1811" s="39">
        <f>IF(AND(MOD(H1811,30)&lt;1.5,MOD(H1811,30)&gt;=0.5),H1811,0)*VLOOKUP(D1811,'报价表-配送'!$B$75:$I$81,4,0)*1000+IF(AND(MOD(H1811,30)&lt;0.5,MOD(H1811,30)&gt;=0.02),H1811,0)*VLOOKUP(D1811,'报价表-配送'!$B$75:$I$81,3,0)*1000+IF(AND(MOD(H1811,30)&lt;0.02),H1811,0)*VLOOKUP(D1811,'报价表-配送'!$B$75:$I$81,2,0)*1000</f>
        <v>0</v>
      </c>
      <c r="N1811" s="38">
        <f t="shared" si="27"/>
        <v>0</v>
      </c>
    </row>
    <row r="1812" spans="1:14" x14ac:dyDescent="0.25">
      <c r="A1812" s="56" t="s">
        <v>77</v>
      </c>
      <c r="B1812" s="43" t="s">
        <v>171</v>
      </c>
      <c r="C1812" s="62">
        <f>VLOOKUP(B1812,合并仓明细!$D$2:$F$74,3,0)</f>
        <v>360</v>
      </c>
      <c r="D1812" t="s">
        <v>410</v>
      </c>
      <c r="E1812" s="43" t="s">
        <v>304</v>
      </c>
      <c r="F1812" t="s">
        <v>68</v>
      </c>
      <c r="G1812" s="42">
        <v>1747.2</v>
      </c>
      <c r="H1812">
        <v>1.89341</v>
      </c>
      <c r="I1812" s="46">
        <f>ROUNDUP(H1812/30,0)*VLOOKUP(D1812,'报价表-配送'!$B$75:$I$81,8,0)</f>
        <v>0</v>
      </c>
      <c r="N1812" s="38">
        <f t="shared" si="27"/>
        <v>0</v>
      </c>
    </row>
    <row r="1813" spans="1:14" x14ac:dyDescent="0.25">
      <c r="A1813" s="56" t="s">
        <v>77</v>
      </c>
      <c r="B1813" s="43" t="s">
        <v>171</v>
      </c>
      <c r="C1813" s="62">
        <f>VLOOKUP(B1813,合并仓明细!$D$2:$F$74,3,0)</f>
        <v>360</v>
      </c>
      <c r="D1813" t="s">
        <v>410</v>
      </c>
      <c r="E1813" s="43" t="s">
        <v>304</v>
      </c>
      <c r="F1813" t="s">
        <v>66</v>
      </c>
      <c r="G1813" s="42">
        <v>146.21</v>
      </c>
      <c r="H1813"/>
      <c r="N1813" s="38">
        <f t="shared" si="27"/>
        <v>0</v>
      </c>
    </row>
    <row r="1814" spans="1:14" x14ac:dyDescent="0.25">
      <c r="A1814" s="56" t="s">
        <v>77</v>
      </c>
      <c r="B1814" s="43" t="s">
        <v>171</v>
      </c>
      <c r="C1814" s="62">
        <f>VLOOKUP(B1814,合并仓明细!$D$2:$F$74,3,0)</f>
        <v>360</v>
      </c>
      <c r="D1814" t="s">
        <v>410</v>
      </c>
      <c r="E1814" s="43" t="s">
        <v>253</v>
      </c>
      <c r="F1814" t="s">
        <v>66</v>
      </c>
      <c r="G1814" s="42">
        <v>3.5</v>
      </c>
      <c r="H1814">
        <v>3.5000000000000001E-3</v>
      </c>
      <c r="L1814" s="37">
        <f>IF(H1814&gt;30,QUOTIENT(H1814,30)*VLOOKUP(D1814,'报价表-配送'!$B$75:$I$81,8,0),0)+IF(AND(MOD(H1814,30)&gt;18,MOD(H1814,30)&lt;=30),1,0)*VLOOKUP(D1814,'报价表-配送'!$B$75:$I$81,8,0)+IF(AND(MOD(H1814,30)&gt;8,MOD(H1814,30)&lt;=18),1*VLOOKUP(D1814,'报价表-配送'!$B$75:$I$81,7,0),0)+IF(AND(MOD(H1814,30)&lt;=8,MOD(H1814,30)&gt;2.5),1,0)*VLOOKUP(D1814,'报价表-配送'!$B$75:$I$81,6,0)+IF(AND(MOD(H1814,30)&lt;=2.5,MOD(H1814,30)&gt;=1.5),1,0)*VLOOKUP(D1814,'报价表-配送'!$B$75:$I$81,5,0)</f>
        <v>0</v>
      </c>
      <c r="M1814" s="39">
        <f>IF(AND(MOD(H1814,30)&lt;1.5,MOD(H1814,30)&gt;=0.5),H1814,0)*VLOOKUP(D1814,'报价表-配送'!$B$75:$I$81,4,0)*1000+IF(AND(MOD(H1814,30)&lt;0.5,MOD(H1814,30)&gt;=0.02),H1814,0)*VLOOKUP(D1814,'报价表-配送'!$B$75:$I$81,3,0)*1000+IF(AND(MOD(H1814,30)&lt;0.02),H1814,0)*VLOOKUP(D1814,'报价表-配送'!$B$75:$I$81,2,0)*1000</f>
        <v>0</v>
      </c>
      <c r="N1814" s="38">
        <f t="shared" si="27"/>
        <v>0</v>
      </c>
    </row>
    <row r="1815" spans="1:14" x14ac:dyDescent="0.25">
      <c r="A1815" s="56" t="s">
        <v>77</v>
      </c>
      <c r="B1815" s="43" t="s">
        <v>171</v>
      </c>
      <c r="C1815" s="62">
        <f>VLOOKUP(B1815,合并仓明细!$D$2:$F$74,3,0)</f>
        <v>360</v>
      </c>
      <c r="D1815" t="s">
        <v>410</v>
      </c>
      <c r="E1815" s="43" t="s">
        <v>356</v>
      </c>
      <c r="F1815" t="s">
        <v>66</v>
      </c>
      <c r="G1815" s="42">
        <v>17.3</v>
      </c>
      <c r="H1815">
        <v>1.7299999999999999E-2</v>
      </c>
      <c r="I1815" s="46"/>
      <c r="L1815" s="37">
        <f>IF(H1815&gt;30,QUOTIENT(H1815,30)*VLOOKUP(D1815,'报价表-配送'!$B$75:$I$81,8,0),0)+IF(AND(MOD(H1815,30)&gt;18,MOD(H1815,30)&lt;=30),1,0)*VLOOKUP(D1815,'报价表-配送'!$B$75:$I$81,8,0)+IF(AND(MOD(H1815,30)&gt;8,MOD(H1815,30)&lt;=18),1*VLOOKUP(D1815,'报价表-配送'!$B$75:$I$81,7,0),0)+IF(AND(MOD(H1815,30)&lt;=8,MOD(H1815,30)&gt;2.5),1,0)*VLOOKUP(D1815,'报价表-配送'!$B$75:$I$81,6,0)+IF(AND(MOD(H1815,30)&lt;=2.5,MOD(H1815,30)&gt;=1.5),1,0)*VLOOKUP(D1815,'报价表-配送'!$B$75:$I$81,5,0)</f>
        <v>0</v>
      </c>
      <c r="M1815" s="39">
        <f>IF(AND(MOD(H1815,30)&lt;1.5,MOD(H1815,30)&gt;=0.5),H1815,0)*VLOOKUP(D1815,'报价表-配送'!$B$75:$I$81,4,0)*1000+IF(AND(MOD(H1815,30)&lt;0.5,MOD(H1815,30)&gt;=0.02),H1815,0)*VLOOKUP(D1815,'报价表-配送'!$B$75:$I$81,3,0)*1000+IF(AND(MOD(H1815,30)&lt;0.02),H1815,0)*VLOOKUP(D1815,'报价表-配送'!$B$75:$I$81,2,0)*1000</f>
        <v>0</v>
      </c>
      <c r="N1815" s="38">
        <f t="shared" si="27"/>
        <v>0</v>
      </c>
    </row>
    <row r="1816" spans="1:14" x14ac:dyDescent="0.25">
      <c r="A1816" s="56" t="s">
        <v>77</v>
      </c>
      <c r="B1816" s="43" t="s">
        <v>171</v>
      </c>
      <c r="C1816" s="62">
        <f>VLOOKUP(B1816,合并仓明细!$D$2:$F$74,3,0)</f>
        <v>360</v>
      </c>
      <c r="D1816" t="s">
        <v>410</v>
      </c>
      <c r="E1816" s="43" t="s">
        <v>331</v>
      </c>
      <c r="F1816" t="s">
        <v>66</v>
      </c>
      <c r="G1816" s="111">
        <v>8123.61</v>
      </c>
      <c r="H1816" s="103">
        <v>8.1236099999999993</v>
      </c>
      <c r="L1816" s="37">
        <f>IF(H1816&gt;30,QUOTIENT(H1816,30)*VLOOKUP(D1816,'报价表-配送'!$B$75:$I$81,8,0),0)+IF(AND(MOD(H1816,30)&gt;18,MOD(H1816,30)&lt;=30),1,0)*VLOOKUP(D1816,'报价表-配送'!$B$75:$I$81,8,0)+IF(AND(MOD(H1816,30)&gt;8,MOD(H1816,30)&lt;=18),1*VLOOKUP(D1816,'报价表-配送'!$B$75:$I$81,7,0),0)+IF(AND(MOD(H1816,30)&lt;=8,MOD(H1816,30)&gt;2.5),1,0)*VLOOKUP(D1816,'报价表-配送'!$B$75:$I$81,6,0)+IF(AND(MOD(H1816,30)&lt;=2.5,MOD(H1816,30)&gt;=1.5),1,0)*VLOOKUP(D1816,'报价表-配送'!$B$75:$I$81,5,0)</f>
        <v>0</v>
      </c>
      <c r="M1816" s="39">
        <f>IF(AND(MOD(H1816,30)&lt;1.5,MOD(H1816,30)&gt;=0.5),H1816,0)*VLOOKUP(D1816,'报价表-配送'!$B$75:$I$81,4,0)*1000+IF(AND(MOD(H1816,30)&lt;0.5,MOD(H1816,30)&gt;=0.02),H1816,0)*VLOOKUP(D1816,'报价表-配送'!$B$75:$I$81,3,0)*1000+IF(AND(MOD(H1816,30)&lt;0.02),H1816,0)*VLOOKUP(D1816,'报价表-配送'!$B$75:$I$81,2,0)*1000</f>
        <v>0</v>
      </c>
      <c r="N1816" s="38">
        <f t="shared" si="27"/>
        <v>0</v>
      </c>
    </row>
    <row r="1817" spans="1:14" x14ac:dyDescent="0.25">
      <c r="A1817" s="56" t="s">
        <v>77</v>
      </c>
      <c r="B1817" s="43" t="s">
        <v>171</v>
      </c>
      <c r="C1817" s="62">
        <f>VLOOKUP(B1817,合并仓明细!$D$2:$F$74,3,0)</f>
        <v>360</v>
      </c>
      <c r="D1817" t="s">
        <v>410</v>
      </c>
      <c r="E1817" s="43" t="s">
        <v>328</v>
      </c>
      <c r="F1817" t="s">
        <v>66</v>
      </c>
      <c r="G1817" s="42">
        <v>30.95</v>
      </c>
      <c r="H1817">
        <v>3.0949999999999998E-2</v>
      </c>
      <c r="L1817" s="37">
        <f>IF(H1817&gt;30,QUOTIENT(H1817,30)*VLOOKUP(D1817,'报价表-配送'!$B$75:$I$81,8,0),0)+IF(AND(MOD(H1817,30)&gt;18,MOD(H1817,30)&lt;=30),1,0)*VLOOKUP(D1817,'报价表-配送'!$B$75:$I$81,8,0)+IF(AND(MOD(H1817,30)&gt;8,MOD(H1817,30)&lt;=18),1*VLOOKUP(D1817,'报价表-配送'!$B$75:$I$81,7,0),0)+IF(AND(MOD(H1817,30)&lt;=8,MOD(H1817,30)&gt;2.5),1,0)*VLOOKUP(D1817,'报价表-配送'!$B$75:$I$81,6,0)+IF(AND(MOD(H1817,30)&lt;=2.5,MOD(H1817,30)&gt;=1.5),1,0)*VLOOKUP(D1817,'报价表-配送'!$B$75:$I$81,5,0)</f>
        <v>0</v>
      </c>
      <c r="M1817" s="39">
        <f>IF(AND(MOD(H1817,30)&lt;1.5,MOD(H1817,30)&gt;=0.5),H1817,0)*VLOOKUP(D1817,'报价表-配送'!$B$75:$I$81,4,0)*1000+IF(AND(MOD(H1817,30)&lt;0.5,MOD(H1817,30)&gt;=0.02),H1817,0)*VLOOKUP(D1817,'报价表-配送'!$B$75:$I$81,3,0)*1000+IF(AND(MOD(H1817,30)&lt;0.02),H1817,0)*VLOOKUP(D1817,'报价表-配送'!$B$75:$I$81,2,0)*1000</f>
        <v>0</v>
      </c>
      <c r="N1817" s="38">
        <f t="shared" si="27"/>
        <v>0</v>
      </c>
    </row>
    <row r="1818" spans="1:14" x14ac:dyDescent="0.25">
      <c r="A1818" s="56" t="s">
        <v>77</v>
      </c>
      <c r="B1818" s="43" t="s">
        <v>171</v>
      </c>
      <c r="C1818" s="62">
        <f>VLOOKUP(B1818,合并仓明细!$D$2:$F$74,3,0)</f>
        <v>360</v>
      </c>
      <c r="D1818" t="s">
        <v>410</v>
      </c>
      <c r="E1818" s="43" t="s">
        <v>332</v>
      </c>
      <c r="F1818" t="s">
        <v>66</v>
      </c>
      <c r="G1818" s="42">
        <v>87.7</v>
      </c>
      <c r="H1818">
        <v>8.77E-2</v>
      </c>
      <c r="I1818" s="46"/>
      <c r="L1818" s="37">
        <f>IF(H1818&gt;30,QUOTIENT(H1818,30)*VLOOKUP(D1818,'报价表-配送'!$B$75:$I$81,8,0),0)+IF(AND(MOD(H1818,30)&gt;18,MOD(H1818,30)&lt;=30),1,0)*VLOOKUP(D1818,'报价表-配送'!$B$75:$I$81,8,0)+IF(AND(MOD(H1818,30)&gt;8,MOD(H1818,30)&lt;=18),1*VLOOKUP(D1818,'报价表-配送'!$B$75:$I$81,7,0),0)+IF(AND(MOD(H1818,30)&lt;=8,MOD(H1818,30)&gt;2.5),1,0)*VLOOKUP(D1818,'报价表-配送'!$B$75:$I$81,6,0)+IF(AND(MOD(H1818,30)&lt;=2.5,MOD(H1818,30)&gt;=1.5),1,0)*VLOOKUP(D1818,'报价表-配送'!$B$75:$I$81,5,0)</f>
        <v>0</v>
      </c>
      <c r="M1818" s="39">
        <f>IF(AND(MOD(H1818,30)&lt;1.5,MOD(H1818,30)&gt;=0.5),H1818,0)*VLOOKUP(D1818,'报价表-配送'!$B$75:$I$81,4,0)*1000+IF(AND(MOD(H1818,30)&lt;0.5,MOD(H1818,30)&gt;=0.02),H1818,0)*VLOOKUP(D1818,'报价表-配送'!$B$75:$I$81,3,0)*1000+IF(AND(MOD(H1818,30)&lt;0.02),H1818,0)*VLOOKUP(D1818,'报价表-配送'!$B$75:$I$81,2,0)*1000</f>
        <v>0</v>
      </c>
      <c r="N1818" s="38">
        <f t="shared" si="27"/>
        <v>0</v>
      </c>
    </row>
    <row r="1819" spans="1:14" x14ac:dyDescent="0.25">
      <c r="A1819" s="56" t="s">
        <v>241</v>
      </c>
      <c r="B1819" s="43" t="s">
        <v>172</v>
      </c>
      <c r="C1819" s="62">
        <f>VLOOKUP(B1819,合并仓明细!$D$2:$F$74,3,0)</f>
        <v>126</v>
      </c>
      <c r="D1819" t="s">
        <v>413</v>
      </c>
      <c r="E1819" s="43" t="s">
        <v>268</v>
      </c>
      <c r="F1819" t="s">
        <v>66</v>
      </c>
      <c r="G1819" s="42">
        <v>290.2</v>
      </c>
      <c r="H1819">
        <v>0.29020000000000001</v>
      </c>
      <c r="L1819" s="37">
        <f>IF(H1819&gt;30,QUOTIENT(H1819,30)*VLOOKUP(D1819,'报价表-配送'!$B$61:$I$65,8,0),0)+IF(AND(MOD(H1819,30)&gt;18,MOD(H1819,30)&lt;=30),1,0)*VLOOKUP(D1819,'报价表-配送'!$B$61:$I$65,8,0)+IF(AND(MOD(H1819,30)&gt;8,MOD(H1819,30)&lt;=18),1*VLOOKUP(D1819,'报价表-配送'!$B$61:$I$65,7,0),0)+IF(AND(MOD(H1819,30)&lt;=8,MOD(H1819,30)&gt;2.5),1,0)*VLOOKUP(D1819,'报价表-配送'!$B$61:$I$65,6,0)+IF(AND(MOD(H1819,30)&lt;=2.5,MOD(H1819,30)&gt;=1.5),1,0)*VLOOKUP(D1819,'报价表-配送'!$B$61:$I$65,5,0)</f>
        <v>0</v>
      </c>
      <c r="M1819" s="39">
        <f>IF(AND(MOD(H1819,30)&lt;1.5,MOD(H1819,30)&gt;=0.5),H1819,0)*VLOOKUP(D1819,'报价表-配送'!$B$61:$I$65,4,0)*1000+IF(AND(MOD(H1819,30)&lt;0.5,MOD(H1819,30)&gt;=0.02),H1819,0)*VLOOKUP(D1819,'报价表-配送'!$B$61:$I$65,3,0)*1000+IF(AND(MOD(H1819,30)&lt;0.02),H1819,0)*VLOOKUP(D1819,'报价表-配送'!$B$61:$I$65,2,0)*1000</f>
        <v>0</v>
      </c>
      <c r="N1819" s="38">
        <f t="shared" si="27"/>
        <v>0</v>
      </c>
    </row>
    <row r="1820" spans="1:14" x14ac:dyDescent="0.25">
      <c r="A1820" s="56" t="s">
        <v>241</v>
      </c>
      <c r="B1820" s="43" t="s">
        <v>172</v>
      </c>
      <c r="C1820" s="62">
        <f>VLOOKUP(B1820,合并仓明细!$D$2:$F$74,3,0)</f>
        <v>126</v>
      </c>
      <c r="D1820" t="s">
        <v>413</v>
      </c>
      <c r="E1820" s="43" t="s">
        <v>277</v>
      </c>
      <c r="F1820" t="s">
        <v>67</v>
      </c>
      <c r="G1820" s="42">
        <v>0</v>
      </c>
      <c r="H1820">
        <v>0.37655000000000011</v>
      </c>
      <c r="I1820" s="38">
        <f>IF(H1820&gt;30,QUOTIENT(H1820,30)*VLOOKUP(D1820,'报价表-配送'!$B$61:$I$65,8,0),0)+IF(AND(MOD(H1820,30)&gt;18,MOD(H1820,30)&lt;=30),1,0)*VLOOKUP(D1820,'报价表-配送'!$B$61:$I$65,8,0)</f>
        <v>0</v>
      </c>
      <c r="J1820" s="38">
        <f>IF(AND(MOD(H1820,30)&gt;8,MOD(H1820,30)&lt;=18),1*VLOOKUP(D1820,'报价表-配送'!$B$61:$I$65,7,0),0)</f>
        <v>0</v>
      </c>
      <c r="K1820" s="38">
        <f>IF(AND(MOD(H1820,30)&lt;=8,MOD(H1820,30)&gt;0),1,0)*VLOOKUP(D1820,'报价表-配送'!$B$61:$I$65,6,0)</f>
        <v>0</v>
      </c>
      <c r="N1820" s="38">
        <f t="shared" si="27"/>
        <v>0</v>
      </c>
    </row>
    <row r="1821" spans="1:14" x14ac:dyDescent="0.25">
      <c r="A1821" s="56" t="s">
        <v>241</v>
      </c>
      <c r="B1821" s="43" t="s">
        <v>172</v>
      </c>
      <c r="C1821" s="62">
        <f>VLOOKUP(B1821,合并仓明细!$D$2:$F$74,3,0)</f>
        <v>126</v>
      </c>
      <c r="D1821" t="s">
        <v>413</v>
      </c>
      <c r="E1821" s="43" t="s">
        <v>277</v>
      </c>
      <c r="F1821" t="s">
        <v>66</v>
      </c>
      <c r="G1821" s="42">
        <v>376.55000000000013</v>
      </c>
      <c r="H1821"/>
      <c r="N1821" s="38">
        <f t="shared" si="27"/>
        <v>0</v>
      </c>
    </row>
    <row r="1822" spans="1:14" x14ac:dyDescent="0.25">
      <c r="A1822" s="56" t="s">
        <v>241</v>
      </c>
      <c r="B1822" s="43" t="s">
        <v>172</v>
      </c>
      <c r="C1822" s="62">
        <f>VLOOKUP(B1822,合并仓明细!$D$2:$F$74,3,0)</f>
        <v>126</v>
      </c>
      <c r="D1822" t="s">
        <v>413</v>
      </c>
      <c r="E1822" s="43" t="s">
        <v>313</v>
      </c>
      <c r="F1822" t="s">
        <v>68</v>
      </c>
      <c r="G1822" s="42">
        <v>490.42999999999995</v>
      </c>
      <c r="H1822">
        <v>1.6163899999999998</v>
      </c>
      <c r="I1822" s="46">
        <f>ROUNDUP(H1822/30,0)*VLOOKUP(D1822,'报价表-配送'!$B$61:$I$65,8,0)</f>
        <v>0</v>
      </c>
      <c r="N1822" s="38">
        <f t="shared" si="27"/>
        <v>0</v>
      </c>
    </row>
    <row r="1823" spans="1:14" x14ac:dyDescent="0.25">
      <c r="A1823" s="56" t="s">
        <v>241</v>
      </c>
      <c r="B1823" s="43" t="s">
        <v>172</v>
      </c>
      <c r="C1823" s="62">
        <f>VLOOKUP(B1823,合并仓明细!$D$2:$F$74,3,0)</f>
        <v>126</v>
      </c>
      <c r="D1823" t="s">
        <v>413</v>
      </c>
      <c r="E1823" s="43" t="s">
        <v>313</v>
      </c>
      <c r="F1823" t="s">
        <v>66</v>
      </c>
      <c r="G1823" s="42">
        <v>1125.96</v>
      </c>
      <c r="H1823"/>
      <c r="I1823" s="46"/>
      <c r="N1823" s="38">
        <f t="shared" si="27"/>
        <v>0</v>
      </c>
    </row>
    <row r="1824" spans="1:14" x14ac:dyDescent="0.25">
      <c r="A1824" s="56" t="s">
        <v>241</v>
      </c>
      <c r="B1824" s="43" t="s">
        <v>172</v>
      </c>
      <c r="C1824" s="62">
        <f>VLOOKUP(B1824,合并仓明细!$D$2:$F$74,3,0)</f>
        <v>126</v>
      </c>
      <c r="D1824" t="s">
        <v>413</v>
      </c>
      <c r="E1824" s="43" t="s">
        <v>284</v>
      </c>
      <c r="F1824" t="s">
        <v>66</v>
      </c>
      <c r="G1824" s="42">
        <v>17.869999999999997</v>
      </c>
      <c r="H1824">
        <v>1.7869999999999997E-2</v>
      </c>
      <c r="L1824" s="37">
        <f>IF(H1824&gt;30,QUOTIENT(H1824,30)*VLOOKUP(D1824,'报价表-配送'!$B$61:$I$65,8,0),0)+IF(AND(MOD(H1824,30)&gt;18,MOD(H1824,30)&lt;=30),1,0)*VLOOKUP(D1824,'报价表-配送'!$B$61:$I$65,8,0)+IF(AND(MOD(H1824,30)&gt;8,MOD(H1824,30)&lt;=18),1*VLOOKUP(D1824,'报价表-配送'!$B$61:$I$65,7,0),0)+IF(AND(MOD(H1824,30)&lt;=8,MOD(H1824,30)&gt;2.5),1,0)*VLOOKUP(D1824,'报价表-配送'!$B$61:$I$65,6,0)+IF(AND(MOD(H1824,30)&lt;=2.5,MOD(H1824,30)&gt;=1.5),1,0)*VLOOKUP(D1824,'报价表-配送'!$B$61:$I$65,5,0)</f>
        <v>0</v>
      </c>
      <c r="M1824" s="39">
        <f>IF(AND(MOD(H1824,30)&lt;1.5,MOD(H1824,30)&gt;=0.5),H1824,0)*VLOOKUP(D1824,'报价表-配送'!$B$61:$I$65,4,0)*1000+IF(AND(MOD(H1824,30)&lt;0.5,MOD(H1824,30)&gt;=0.02),H1824,0)*VLOOKUP(D1824,'报价表-配送'!$B$61:$I$65,3,0)*1000+IF(AND(MOD(H1824,30)&lt;0.02),H1824,0)*VLOOKUP(D1824,'报价表-配送'!$B$61:$I$65,2,0)*1000</f>
        <v>0</v>
      </c>
      <c r="N1824" s="38">
        <f t="shared" si="27"/>
        <v>0</v>
      </c>
    </row>
    <row r="1825" spans="1:14" x14ac:dyDescent="0.25">
      <c r="A1825" s="56" t="s">
        <v>241</v>
      </c>
      <c r="B1825" s="43" t="s">
        <v>172</v>
      </c>
      <c r="C1825" s="62">
        <f>VLOOKUP(B1825,合并仓明细!$D$2:$F$74,3,0)</f>
        <v>126</v>
      </c>
      <c r="D1825" t="s">
        <v>413</v>
      </c>
      <c r="E1825" s="43" t="s">
        <v>287</v>
      </c>
      <c r="F1825" t="s">
        <v>66</v>
      </c>
      <c r="G1825" s="42">
        <v>822.48</v>
      </c>
      <c r="H1825">
        <v>0.82247999999999999</v>
      </c>
      <c r="L1825" s="37">
        <f>IF(H1825&gt;30,QUOTIENT(H1825,30)*VLOOKUP(D1825,'报价表-配送'!$B$61:$I$65,8,0),0)+IF(AND(MOD(H1825,30)&gt;18,MOD(H1825,30)&lt;=30),1,0)*VLOOKUP(D1825,'报价表-配送'!$B$61:$I$65,8,0)+IF(AND(MOD(H1825,30)&gt;8,MOD(H1825,30)&lt;=18),1*VLOOKUP(D1825,'报价表-配送'!$B$61:$I$65,7,0),0)+IF(AND(MOD(H1825,30)&lt;=8,MOD(H1825,30)&gt;2.5),1,0)*VLOOKUP(D1825,'报价表-配送'!$B$61:$I$65,6,0)+IF(AND(MOD(H1825,30)&lt;=2.5,MOD(H1825,30)&gt;=1.5),1,0)*VLOOKUP(D1825,'报价表-配送'!$B$61:$I$65,5,0)</f>
        <v>0</v>
      </c>
      <c r="M1825" s="39">
        <f>IF(AND(MOD(H1825,30)&lt;1.5,MOD(H1825,30)&gt;=0.5),H1825,0)*VLOOKUP(D1825,'报价表-配送'!$B$61:$I$65,4,0)*1000+IF(AND(MOD(H1825,30)&lt;0.5,MOD(H1825,30)&gt;=0.02),H1825,0)*VLOOKUP(D1825,'报价表-配送'!$B$61:$I$65,3,0)*1000+IF(AND(MOD(H1825,30)&lt;0.02),H1825,0)*VLOOKUP(D1825,'报价表-配送'!$B$61:$I$65,2,0)*1000</f>
        <v>0</v>
      </c>
      <c r="N1825" s="38">
        <f t="shared" si="27"/>
        <v>0</v>
      </c>
    </row>
    <row r="1826" spans="1:14" x14ac:dyDescent="0.25">
      <c r="A1826" s="56" t="s">
        <v>241</v>
      </c>
      <c r="B1826" s="43" t="s">
        <v>172</v>
      </c>
      <c r="C1826" s="62">
        <f>VLOOKUP(B1826,合并仓明细!$D$2:$F$74,3,0)</f>
        <v>126</v>
      </c>
      <c r="D1826" t="s">
        <v>413</v>
      </c>
      <c r="E1826" s="43" t="s">
        <v>288</v>
      </c>
      <c r="F1826" t="s">
        <v>66</v>
      </c>
      <c r="G1826" s="42">
        <v>34.760000000000005</v>
      </c>
      <c r="H1826">
        <v>3.4760000000000006E-2</v>
      </c>
      <c r="I1826" s="46"/>
      <c r="L1826" s="37">
        <f>IF(H1826&gt;30,QUOTIENT(H1826,30)*VLOOKUP(D1826,'报价表-配送'!$B$61:$I$65,8,0),0)+IF(AND(MOD(H1826,30)&gt;18,MOD(H1826,30)&lt;=30),1,0)*VLOOKUP(D1826,'报价表-配送'!$B$61:$I$65,8,0)+IF(AND(MOD(H1826,30)&gt;8,MOD(H1826,30)&lt;=18),1*VLOOKUP(D1826,'报价表-配送'!$B$61:$I$65,7,0),0)+IF(AND(MOD(H1826,30)&lt;=8,MOD(H1826,30)&gt;2.5),1,0)*VLOOKUP(D1826,'报价表-配送'!$B$61:$I$65,6,0)+IF(AND(MOD(H1826,30)&lt;=2.5,MOD(H1826,30)&gt;=1.5),1,0)*VLOOKUP(D1826,'报价表-配送'!$B$61:$I$65,5,0)</f>
        <v>0</v>
      </c>
      <c r="M1826" s="39">
        <f>IF(AND(MOD(H1826,30)&lt;1.5,MOD(H1826,30)&gt;=0.5),H1826,0)*VLOOKUP(D1826,'报价表-配送'!$B$61:$I$65,4,0)*1000+IF(AND(MOD(H1826,30)&lt;0.5,MOD(H1826,30)&gt;=0.02),H1826,0)*VLOOKUP(D1826,'报价表-配送'!$B$61:$I$65,3,0)*1000+IF(AND(MOD(H1826,30)&lt;0.02),H1826,0)*VLOOKUP(D1826,'报价表-配送'!$B$61:$I$65,2,0)*1000</f>
        <v>0</v>
      </c>
      <c r="N1826" s="38">
        <f t="shared" si="27"/>
        <v>0</v>
      </c>
    </row>
    <row r="1827" spans="1:14" x14ac:dyDescent="0.25">
      <c r="A1827" s="56" t="s">
        <v>241</v>
      </c>
      <c r="B1827" s="43" t="s">
        <v>172</v>
      </c>
      <c r="C1827" s="62">
        <f>VLOOKUP(B1827,合并仓明细!$D$2:$F$74,3,0)</f>
        <v>126</v>
      </c>
      <c r="D1827" t="s">
        <v>413</v>
      </c>
      <c r="E1827" s="43" t="s">
        <v>247</v>
      </c>
      <c r="F1827" t="s">
        <v>68</v>
      </c>
      <c r="G1827" s="42">
        <v>523.67999999999995</v>
      </c>
      <c r="H1827">
        <v>3.3009200000000001</v>
      </c>
      <c r="I1827" s="46">
        <f>ROUNDUP(H1827/30,0)*VLOOKUP(D1827,'报价表-配送'!$B$61:$I$65,8,0)</f>
        <v>0</v>
      </c>
      <c r="N1827" s="38">
        <f t="shared" si="27"/>
        <v>0</v>
      </c>
    </row>
    <row r="1828" spans="1:14" x14ac:dyDescent="0.25">
      <c r="A1828" s="56" t="s">
        <v>241</v>
      </c>
      <c r="B1828" s="43" t="s">
        <v>172</v>
      </c>
      <c r="C1828" s="62">
        <f>VLOOKUP(B1828,合并仓明细!$D$2:$F$74,3,0)</f>
        <v>126</v>
      </c>
      <c r="D1828" t="s">
        <v>413</v>
      </c>
      <c r="E1828" s="43" t="s">
        <v>247</v>
      </c>
      <c r="F1828" t="s">
        <v>67</v>
      </c>
      <c r="G1828" s="42">
        <v>2682.3500000000004</v>
      </c>
      <c r="H1828"/>
      <c r="N1828" s="38">
        <f t="shared" si="27"/>
        <v>0</v>
      </c>
    </row>
    <row r="1829" spans="1:14" x14ac:dyDescent="0.25">
      <c r="A1829" s="56" t="s">
        <v>241</v>
      </c>
      <c r="B1829" s="43" t="s">
        <v>172</v>
      </c>
      <c r="C1829" s="62">
        <f>VLOOKUP(B1829,合并仓明细!$D$2:$F$74,3,0)</f>
        <v>126</v>
      </c>
      <c r="D1829" t="s">
        <v>413</v>
      </c>
      <c r="E1829" s="43" t="s">
        <v>247</v>
      </c>
      <c r="F1829" t="s">
        <v>66</v>
      </c>
      <c r="G1829" s="42">
        <v>94.89</v>
      </c>
      <c r="H1829"/>
      <c r="I1829" s="46"/>
      <c r="N1829" s="38">
        <f t="shared" si="27"/>
        <v>0</v>
      </c>
    </row>
    <row r="1830" spans="1:14" x14ac:dyDescent="0.25">
      <c r="A1830" s="56" t="s">
        <v>241</v>
      </c>
      <c r="B1830" s="43" t="s">
        <v>172</v>
      </c>
      <c r="C1830" s="62">
        <f>VLOOKUP(B1830,合并仓明细!$D$2:$F$74,3,0)</f>
        <v>126</v>
      </c>
      <c r="D1830" t="s">
        <v>413</v>
      </c>
      <c r="E1830" s="43" t="s">
        <v>341</v>
      </c>
      <c r="F1830" t="s">
        <v>66</v>
      </c>
      <c r="G1830" s="42">
        <v>8.5</v>
      </c>
      <c r="H1830">
        <v>8.5000000000000006E-3</v>
      </c>
      <c r="I1830" s="38"/>
      <c r="J1830" s="38"/>
      <c r="K1830" s="38"/>
      <c r="L1830" s="37">
        <f>IF(H1830&gt;30,QUOTIENT(H1830,30)*VLOOKUP(D1830,'报价表-配送'!$B$61:$I$65,8,0),0)+IF(AND(MOD(H1830,30)&gt;18,MOD(H1830,30)&lt;=30),1,0)*VLOOKUP(D1830,'报价表-配送'!$B$61:$I$65,8,0)+IF(AND(MOD(H1830,30)&gt;8,MOD(H1830,30)&lt;=18),1*VLOOKUP(D1830,'报价表-配送'!$B$61:$I$65,7,0),0)+IF(AND(MOD(H1830,30)&lt;=8,MOD(H1830,30)&gt;2.5),1,0)*VLOOKUP(D1830,'报价表-配送'!$B$61:$I$65,6,0)+IF(AND(MOD(H1830,30)&lt;=2.5,MOD(H1830,30)&gt;=1.5),1,0)*VLOOKUP(D1830,'报价表-配送'!$B$61:$I$65,5,0)</f>
        <v>0</v>
      </c>
      <c r="M1830" s="39">
        <f>IF(AND(MOD(H1830,30)&lt;1.5,MOD(H1830,30)&gt;=0.5),H1830,0)*VLOOKUP(D1830,'报价表-配送'!$B$61:$I$65,4,0)*1000+IF(AND(MOD(H1830,30)&lt;0.5,MOD(H1830,30)&gt;=0.02),H1830,0)*VLOOKUP(D1830,'报价表-配送'!$B$61:$I$65,3,0)*1000+IF(AND(MOD(H1830,30)&lt;0.02),H1830,0)*VLOOKUP(D1830,'报价表-配送'!$B$61:$I$65,2,0)*1000</f>
        <v>0</v>
      </c>
      <c r="N1830" s="38">
        <f t="shared" ref="N1830:N1893" si="28">SUM(I1830:M1830)</f>
        <v>0</v>
      </c>
    </row>
    <row r="1831" spans="1:14" x14ac:dyDescent="0.25">
      <c r="A1831" s="56" t="s">
        <v>241</v>
      </c>
      <c r="B1831" s="43" t="s">
        <v>172</v>
      </c>
      <c r="C1831" s="62">
        <f>VLOOKUP(B1831,合并仓明细!$D$2:$F$74,3,0)</f>
        <v>126</v>
      </c>
      <c r="D1831" t="s">
        <v>413</v>
      </c>
      <c r="E1831" s="43" t="s">
        <v>358</v>
      </c>
      <c r="F1831" t="s">
        <v>68</v>
      </c>
      <c r="G1831" s="42">
        <v>10456.1</v>
      </c>
      <c r="H1831">
        <v>10.46515</v>
      </c>
      <c r="I1831" s="46">
        <f>ROUNDUP(H1831/30,0)*VLOOKUP(D1831,'报价表-配送'!$B$61:$I$65,8,0)</f>
        <v>0</v>
      </c>
      <c r="N1831" s="38">
        <f t="shared" si="28"/>
        <v>0</v>
      </c>
    </row>
    <row r="1832" spans="1:14" x14ac:dyDescent="0.25">
      <c r="A1832" s="56" t="s">
        <v>241</v>
      </c>
      <c r="B1832" s="43" t="s">
        <v>172</v>
      </c>
      <c r="C1832" s="62">
        <f>VLOOKUP(B1832,合并仓明细!$D$2:$F$74,3,0)</f>
        <v>126</v>
      </c>
      <c r="D1832" t="s">
        <v>413</v>
      </c>
      <c r="E1832" s="43" t="s">
        <v>358</v>
      </c>
      <c r="F1832" t="s">
        <v>66</v>
      </c>
      <c r="G1832" s="42">
        <v>9.0500000000000007</v>
      </c>
      <c r="H1832"/>
      <c r="I1832" s="38"/>
      <c r="J1832" s="38"/>
      <c r="K1832" s="38"/>
      <c r="L1832" s="57"/>
      <c r="M1832" s="37"/>
      <c r="N1832" s="38">
        <f t="shared" si="28"/>
        <v>0</v>
      </c>
    </row>
    <row r="1833" spans="1:14" x14ac:dyDescent="0.25">
      <c r="A1833" s="56" t="s">
        <v>241</v>
      </c>
      <c r="B1833" s="43" t="s">
        <v>172</v>
      </c>
      <c r="C1833" s="62">
        <f>VLOOKUP(B1833,合并仓明细!$D$2:$F$74,3,0)</f>
        <v>126</v>
      </c>
      <c r="D1833" t="s">
        <v>413</v>
      </c>
      <c r="E1833" s="43" t="s">
        <v>317</v>
      </c>
      <c r="F1833" t="s">
        <v>68</v>
      </c>
      <c r="G1833" s="42">
        <v>1495.82</v>
      </c>
      <c r="H1833">
        <v>6.5191599999999985</v>
      </c>
      <c r="I1833" s="46">
        <f>ROUNDUP(H1833/30,0)*VLOOKUP(D1833,'报价表-配送'!$B$61:$I$65,8,0)</f>
        <v>0</v>
      </c>
      <c r="N1833" s="38">
        <f t="shared" si="28"/>
        <v>0</v>
      </c>
    </row>
    <row r="1834" spans="1:14" x14ac:dyDescent="0.25">
      <c r="A1834" s="56" t="s">
        <v>241</v>
      </c>
      <c r="B1834" s="43" t="s">
        <v>172</v>
      </c>
      <c r="C1834" s="62">
        <f>VLOOKUP(B1834,合并仓明细!$D$2:$F$74,3,0)</f>
        <v>126</v>
      </c>
      <c r="D1834" t="s">
        <v>413</v>
      </c>
      <c r="E1834" s="43" t="s">
        <v>317</v>
      </c>
      <c r="F1834" t="s">
        <v>67</v>
      </c>
      <c r="G1834" s="42">
        <v>4344.9999999999991</v>
      </c>
      <c r="H1834"/>
      <c r="I1834" s="46"/>
      <c r="N1834" s="38">
        <f t="shared" si="28"/>
        <v>0</v>
      </c>
    </row>
    <row r="1835" spans="1:14" x14ac:dyDescent="0.25">
      <c r="A1835" s="56" t="s">
        <v>241</v>
      </c>
      <c r="B1835" s="43" t="s">
        <v>172</v>
      </c>
      <c r="C1835" s="62">
        <f>VLOOKUP(B1835,合并仓明细!$D$2:$F$74,3,0)</f>
        <v>126</v>
      </c>
      <c r="D1835" t="s">
        <v>413</v>
      </c>
      <c r="E1835" s="43" t="s">
        <v>317</v>
      </c>
      <c r="F1835" t="s">
        <v>66</v>
      </c>
      <c r="G1835" s="42">
        <v>678.34</v>
      </c>
      <c r="H1835"/>
      <c r="N1835" s="38">
        <f t="shared" si="28"/>
        <v>0</v>
      </c>
    </row>
    <row r="1836" spans="1:14" x14ac:dyDescent="0.25">
      <c r="A1836" s="56" t="s">
        <v>241</v>
      </c>
      <c r="B1836" s="43" t="s">
        <v>172</v>
      </c>
      <c r="C1836" s="62">
        <f>VLOOKUP(B1836,合并仓明细!$D$2:$F$74,3,0)</f>
        <v>126</v>
      </c>
      <c r="D1836" t="s">
        <v>413</v>
      </c>
      <c r="E1836" s="43" t="s">
        <v>380</v>
      </c>
      <c r="F1836" t="s">
        <v>66</v>
      </c>
      <c r="G1836" s="42">
        <v>106.08000000000001</v>
      </c>
      <c r="H1836">
        <v>0.10608000000000001</v>
      </c>
      <c r="I1836" s="38"/>
      <c r="J1836" s="38"/>
      <c r="K1836" s="38"/>
      <c r="L1836" s="37">
        <f>IF(H1836&gt;30,QUOTIENT(H1836,30)*VLOOKUP(D1836,'报价表-配送'!$B$61:$I$65,8,0),0)+IF(AND(MOD(H1836,30)&gt;18,MOD(H1836,30)&lt;=30),1,0)*VLOOKUP(D1836,'报价表-配送'!$B$61:$I$65,8,0)+IF(AND(MOD(H1836,30)&gt;8,MOD(H1836,30)&lt;=18),1*VLOOKUP(D1836,'报价表-配送'!$B$61:$I$65,7,0),0)+IF(AND(MOD(H1836,30)&lt;=8,MOD(H1836,30)&gt;2.5),1,0)*VLOOKUP(D1836,'报价表-配送'!$B$61:$I$65,6,0)+IF(AND(MOD(H1836,30)&lt;=2.5,MOD(H1836,30)&gt;=1.5),1,0)*VLOOKUP(D1836,'报价表-配送'!$B$61:$I$65,5,0)</f>
        <v>0</v>
      </c>
      <c r="M1836" s="39">
        <f>IF(AND(MOD(H1836,30)&lt;1.5,MOD(H1836,30)&gt;=0.5),H1836,0)*VLOOKUP(D1836,'报价表-配送'!$B$61:$I$65,4,0)*1000+IF(AND(MOD(H1836,30)&lt;0.5,MOD(H1836,30)&gt;=0.02),H1836,0)*VLOOKUP(D1836,'报价表-配送'!$B$61:$I$65,3,0)*1000+IF(AND(MOD(H1836,30)&lt;0.02),H1836,0)*VLOOKUP(D1836,'报价表-配送'!$B$61:$I$65,2,0)*1000</f>
        <v>0</v>
      </c>
      <c r="N1836" s="38">
        <f t="shared" si="28"/>
        <v>0</v>
      </c>
    </row>
    <row r="1837" spans="1:14" x14ac:dyDescent="0.25">
      <c r="A1837" s="56" t="s">
        <v>241</v>
      </c>
      <c r="B1837" s="43" t="s">
        <v>172</v>
      </c>
      <c r="C1837" s="62">
        <f>VLOOKUP(B1837,合并仓明细!$D$2:$F$74,3,0)</f>
        <v>126</v>
      </c>
      <c r="D1837" t="s">
        <v>413</v>
      </c>
      <c r="E1837" s="43" t="s">
        <v>298</v>
      </c>
      <c r="F1837" t="s">
        <v>66</v>
      </c>
      <c r="G1837" s="42">
        <v>308.19999999999993</v>
      </c>
      <c r="H1837">
        <v>0.30819999999999992</v>
      </c>
      <c r="L1837" s="37">
        <f>IF(H1837&gt;30,QUOTIENT(H1837,30)*VLOOKUP(D1837,'报价表-配送'!$B$61:$I$65,8,0),0)+IF(AND(MOD(H1837,30)&gt;18,MOD(H1837,30)&lt;=30),1,0)*VLOOKUP(D1837,'报价表-配送'!$B$61:$I$65,8,0)+IF(AND(MOD(H1837,30)&gt;8,MOD(H1837,30)&lt;=18),1*VLOOKUP(D1837,'报价表-配送'!$B$61:$I$65,7,0),0)+IF(AND(MOD(H1837,30)&lt;=8,MOD(H1837,30)&gt;2.5),1,0)*VLOOKUP(D1837,'报价表-配送'!$B$61:$I$65,6,0)+IF(AND(MOD(H1837,30)&lt;=2.5,MOD(H1837,30)&gt;=1.5),1,0)*VLOOKUP(D1837,'报价表-配送'!$B$61:$I$65,5,0)</f>
        <v>0</v>
      </c>
      <c r="M1837" s="39">
        <f>IF(AND(MOD(H1837,30)&lt;1.5,MOD(H1837,30)&gt;=0.5),H1837,0)*VLOOKUP(D1837,'报价表-配送'!$B$61:$I$65,4,0)*1000+IF(AND(MOD(H1837,30)&lt;0.5,MOD(H1837,30)&gt;=0.02),H1837,0)*VLOOKUP(D1837,'报价表-配送'!$B$61:$I$65,3,0)*1000+IF(AND(MOD(H1837,30)&lt;0.02),H1837,0)*VLOOKUP(D1837,'报价表-配送'!$B$61:$I$65,2,0)*1000</f>
        <v>0</v>
      </c>
      <c r="N1837" s="38">
        <f t="shared" si="28"/>
        <v>0</v>
      </c>
    </row>
    <row r="1838" spans="1:14" x14ac:dyDescent="0.25">
      <c r="A1838" s="56" t="s">
        <v>241</v>
      </c>
      <c r="B1838" s="43" t="s">
        <v>172</v>
      </c>
      <c r="C1838" s="62">
        <f>VLOOKUP(B1838,合并仓明细!$D$2:$F$74,3,0)</f>
        <v>126</v>
      </c>
      <c r="D1838" t="s">
        <v>413</v>
      </c>
      <c r="E1838" s="43" t="s">
        <v>300</v>
      </c>
      <c r="F1838" t="s">
        <v>66</v>
      </c>
      <c r="G1838" s="42">
        <v>1.43</v>
      </c>
      <c r="H1838">
        <v>1.4299999999999998E-3</v>
      </c>
      <c r="L1838" s="37">
        <f>IF(H1838&gt;30,QUOTIENT(H1838,30)*VLOOKUP(D1838,'报价表-配送'!$B$61:$I$65,8,0),0)+IF(AND(MOD(H1838,30)&gt;18,MOD(H1838,30)&lt;=30),1,0)*VLOOKUP(D1838,'报价表-配送'!$B$61:$I$65,8,0)+IF(AND(MOD(H1838,30)&gt;8,MOD(H1838,30)&lt;=18),1*VLOOKUP(D1838,'报价表-配送'!$B$61:$I$65,7,0),0)+IF(AND(MOD(H1838,30)&lt;=8,MOD(H1838,30)&gt;2.5),1,0)*VLOOKUP(D1838,'报价表-配送'!$B$61:$I$65,6,0)+IF(AND(MOD(H1838,30)&lt;=2.5,MOD(H1838,30)&gt;=1.5),1,0)*VLOOKUP(D1838,'报价表-配送'!$B$61:$I$65,5,0)</f>
        <v>0</v>
      </c>
      <c r="M1838" s="39">
        <f>IF(AND(MOD(H1838,30)&lt;1.5,MOD(H1838,30)&gt;=0.5),H1838,0)*VLOOKUP(D1838,'报价表-配送'!$B$61:$I$65,4,0)*1000+IF(AND(MOD(H1838,30)&lt;0.5,MOD(H1838,30)&gt;=0.02),H1838,0)*VLOOKUP(D1838,'报价表-配送'!$B$61:$I$65,3,0)*1000+IF(AND(MOD(H1838,30)&lt;0.02),H1838,0)*VLOOKUP(D1838,'报价表-配送'!$B$61:$I$65,2,0)*1000</f>
        <v>0</v>
      </c>
      <c r="N1838" s="38">
        <f t="shared" si="28"/>
        <v>0</v>
      </c>
    </row>
    <row r="1839" spans="1:14" x14ac:dyDescent="0.25">
      <c r="A1839" s="56" t="s">
        <v>241</v>
      </c>
      <c r="B1839" s="43" t="s">
        <v>172</v>
      </c>
      <c r="C1839" s="62">
        <f>VLOOKUP(B1839,合并仓明细!$D$2:$F$74,3,0)</f>
        <v>126</v>
      </c>
      <c r="D1839" t="s">
        <v>413</v>
      </c>
      <c r="E1839" s="43" t="s">
        <v>321</v>
      </c>
      <c r="F1839" t="s">
        <v>66</v>
      </c>
      <c r="G1839" s="42">
        <v>3.93</v>
      </c>
      <c r="H1839">
        <v>3.9300000000000003E-3</v>
      </c>
      <c r="L1839" s="37">
        <f>IF(H1839&gt;30,QUOTIENT(H1839,30)*VLOOKUP(D1839,'报价表-配送'!$B$61:$I$65,8,0),0)+IF(AND(MOD(H1839,30)&gt;18,MOD(H1839,30)&lt;=30),1,0)*VLOOKUP(D1839,'报价表-配送'!$B$61:$I$65,8,0)+IF(AND(MOD(H1839,30)&gt;8,MOD(H1839,30)&lt;=18),1*VLOOKUP(D1839,'报价表-配送'!$B$61:$I$65,7,0),0)+IF(AND(MOD(H1839,30)&lt;=8,MOD(H1839,30)&gt;2.5),1,0)*VLOOKUP(D1839,'报价表-配送'!$B$61:$I$65,6,0)+IF(AND(MOD(H1839,30)&lt;=2.5,MOD(H1839,30)&gt;=1.5),1,0)*VLOOKUP(D1839,'报价表-配送'!$B$61:$I$65,5,0)</f>
        <v>0</v>
      </c>
      <c r="M1839" s="39">
        <f>IF(AND(MOD(H1839,30)&lt;1.5,MOD(H1839,30)&gt;=0.5),H1839,0)*VLOOKUP(D1839,'报价表-配送'!$B$61:$I$65,4,0)*1000+IF(AND(MOD(H1839,30)&lt;0.5,MOD(H1839,30)&gt;=0.02),H1839,0)*VLOOKUP(D1839,'报价表-配送'!$B$61:$I$65,3,0)*1000+IF(AND(MOD(H1839,30)&lt;0.02),H1839,0)*VLOOKUP(D1839,'报价表-配送'!$B$61:$I$65,2,0)*1000</f>
        <v>0</v>
      </c>
      <c r="N1839" s="38">
        <f t="shared" si="28"/>
        <v>0</v>
      </c>
    </row>
    <row r="1840" spans="1:14" x14ac:dyDescent="0.25">
      <c r="A1840" s="56" t="s">
        <v>241</v>
      </c>
      <c r="B1840" s="43" t="s">
        <v>172</v>
      </c>
      <c r="C1840" s="62">
        <f>VLOOKUP(B1840,合并仓明细!$D$2:$F$74,3,0)</f>
        <v>126</v>
      </c>
      <c r="D1840" t="s">
        <v>413</v>
      </c>
      <c r="E1840" s="43" t="s">
        <v>303</v>
      </c>
      <c r="F1840" t="s">
        <v>68</v>
      </c>
      <c r="G1840" s="42">
        <v>1563.0399999999997</v>
      </c>
      <c r="H1840">
        <v>2.4781099999999996</v>
      </c>
      <c r="I1840" s="46">
        <f>ROUNDUP(H1840/30,0)*VLOOKUP(D1840,'报价表-配送'!$B$61:$I$65,8,0)</f>
        <v>0</v>
      </c>
      <c r="N1840" s="38">
        <f t="shared" si="28"/>
        <v>0</v>
      </c>
    </row>
    <row r="1841" spans="1:14" x14ac:dyDescent="0.25">
      <c r="A1841" s="56" t="s">
        <v>241</v>
      </c>
      <c r="B1841" s="43" t="s">
        <v>172</v>
      </c>
      <c r="C1841" s="62">
        <f>VLOOKUP(B1841,合并仓明细!$D$2:$F$74,3,0)</f>
        <v>126</v>
      </c>
      <c r="D1841" t="s">
        <v>413</v>
      </c>
      <c r="E1841" s="43" t="s">
        <v>303</v>
      </c>
      <c r="F1841" t="s">
        <v>67</v>
      </c>
      <c r="G1841" s="42">
        <v>614.41</v>
      </c>
      <c r="H1841"/>
      <c r="I1841" s="46"/>
      <c r="N1841" s="38">
        <f t="shared" si="28"/>
        <v>0</v>
      </c>
    </row>
    <row r="1842" spans="1:14" x14ac:dyDescent="0.25">
      <c r="A1842" s="56" t="s">
        <v>241</v>
      </c>
      <c r="B1842" s="43" t="s">
        <v>172</v>
      </c>
      <c r="C1842" s="62">
        <f>VLOOKUP(B1842,合并仓明细!$D$2:$F$74,3,0)</f>
        <v>126</v>
      </c>
      <c r="D1842" t="s">
        <v>413</v>
      </c>
      <c r="E1842" s="43" t="s">
        <v>303</v>
      </c>
      <c r="F1842" t="s">
        <v>66</v>
      </c>
      <c r="G1842" s="42">
        <v>300.65999999999997</v>
      </c>
      <c r="H1842"/>
      <c r="N1842" s="38">
        <f t="shared" si="28"/>
        <v>0</v>
      </c>
    </row>
    <row r="1843" spans="1:14" x14ac:dyDescent="0.25">
      <c r="A1843" s="56" t="s">
        <v>241</v>
      </c>
      <c r="B1843" s="43" t="s">
        <v>172</v>
      </c>
      <c r="C1843" s="62">
        <f>VLOOKUP(B1843,合并仓明细!$D$2:$F$74,3,0)</f>
        <v>126</v>
      </c>
      <c r="D1843" t="s">
        <v>413</v>
      </c>
      <c r="E1843" s="43" t="s">
        <v>331</v>
      </c>
      <c r="F1843" t="s">
        <v>67</v>
      </c>
      <c r="G1843" s="42">
        <v>866.57</v>
      </c>
      <c r="H1843">
        <v>1.1277900000000001</v>
      </c>
      <c r="I1843" s="38">
        <f>IF(H1843&gt;30,QUOTIENT(H1843,30)*VLOOKUP(D1843,'报价表-配送'!$B$61:$I$65,8,0),0)+IF(AND(MOD(H1843,30)&gt;18,MOD(H1843,30)&lt;=30),1,0)*VLOOKUP(D1843,'报价表-配送'!$B$61:$I$65,8,0)</f>
        <v>0</v>
      </c>
      <c r="J1843" s="38">
        <f>IF(AND(MOD(H1843,30)&gt;8,MOD(H1843,30)&lt;=18),1*VLOOKUP(D1843,'报价表-配送'!$B$61:$I$65,7,0),0)</f>
        <v>0</v>
      </c>
      <c r="K1843" s="38">
        <f>IF(AND(MOD(H1843,30)&lt;=8,MOD(H1843,30)&gt;0),1,0)*VLOOKUP(D1843,'报价表-配送'!$B$61:$I$65,6,0)</f>
        <v>0</v>
      </c>
      <c r="N1843" s="38">
        <f t="shared" si="28"/>
        <v>0</v>
      </c>
    </row>
    <row r="1844" spans="1:14" x14ac:dyDescent="0.25">
      <c r="A1844" s="56" t="s">
        <v>241</v>
      </c>
      <c r="B1844" s="43" t="s">
        <v>172</v>
      </c>
      <c r="C1844" s="62">
        <f>VLOOKUP(B1844,合并仓明细!$D$2:$F$74,3,0)</f>
        <v>126</v>
      </c>
      <c r="D1844" t="s">
        <v>413</v>
      </c>
      <c r="E1844" s="43" t="s">
        <v>331</v>
      </c>
      <c r="F1844" t="s">
        <v>66</v>
      </c>
      <c r="G1844" s="42">
        <v>261.21999999999997</v>
      </c>
      <c r="H1844"/>
      <c r="I1844" s="46"/>
      <c r="N1844" s="38">
        <f t="shared" si="28"/>
        <v>0</v>
      </c>
    </row>
    <row r="1845" spans="1:14" x14ac:dyDescent="0.25">
      <c r="A1845" s="56" t="s">
        <v>241</v>
      </c>
      <c r="B1845" s="43" t="s">
        <v>172</v>
      </c>
      <c r="C1845" s="62">
        <f>VLOOKUP(B1845,合并仓明细!$D$2:$F$74,3,0)</f>
        <v>126</v>
      </c>
      <c r="D1845" t="s">
        <v>413</v>
      </c>
      <c r="E1845" s="43" t="s">
        <v>328</v>
      </c>
      <c r="F1845" t="s">
        <v>66</v>
      </c>
      <c r="G1845" s="42">
        <v>6.12</v>
      </c>
      <c r="H1845">
        <v>6.1200000000000004E-3</v>
      </c>
      <c r="L1845" s="37">
        <f>IF(H1845&gt;30,QUOTIENT(H1845,30)*VLOOKUP(D1845,'报价表-配送'!$B$61:$I$65,8,0),0)+IF(AND(MOD(H1845,30)&gt;18,MOD(H1845,30)&lt;=30),1,0)*VLOOKUP(D1845,'报价表-配送'!$B$61:$I$65,8,0)+IF(AND(MOD(H1845,30)&gt;8,MOD(H1845,30)&lt;=18),1*VLOOKUP(D1845,'报价表-配送'!$B$61:$I$65,7,0),0)+IF(AND(MOD(H1845,30)&lt;=8,MOD(H1845,30)&gt;2.5),1,0)*VLOOKUP(D1845,'报价表-配送'!$B$61:$I$65,6,0)+IF(AND(MOD(H1845,30)&lt;=2.5,MOD(H1845,30)&gt;=1.5),1,0)*VLOOKUP(D1845,'报价表-配送'!$B$61:$I$65,5,0)</f>
        <v>0</v>
      </c>
      <c r="M1845" s="39">
        <f>IF(AND(MOD(H1845,30)&lt;1.5,MOD(H1845,30)&gt;=0.5),H1845,0)*VLOOKUP(D1845,'报价表-配送'!$B$61:$I$65,4,0)*1000+IF(AND(MOD(H1845,30)&lt;0.5,MOD(H1845,30)&gt;=0.02),H1845,0)*VLOOKUP(D1845,'报价表-配送'!$B$61:$I$65,3,0)*1000+IF(AND(MOD(H1845,30)&lt;0.02),H1845,0)*VLOOKUP(D1845,'报价表-配送'!$B$61:$I$65,2,0)*1000</f>
        <v>0</v>
      </c>
      <c r="N1845" s="38">
        <f t="shared" si="28"/>
        <v>0</v>
      </c>
    </row>
    <row r="1846" spans="1:14" x14ac:dyDescent="0.25">
      <c r="A1846" s="56" t="s">
        <v>241</v>
      </c>
      <c r="B1846" s="43" t="s">
        <v>172</v>
      </c>
      <c r="C1846" s="62">
        <f>VLOOKUP(B1846,合并仓明细!$D$2:$F$74,3,0)</f>
        <v>126</v>
      </c>
      <c r="D1846" t="s">
        <v>413</v>
      </c>
      <c r="E1846" s="43" t="s">
        <v>367</v>
      </c>
      <c r="F1846" t="s">
        <v>66</v>
      </c>
      <c r="G1846" s="42">
        <v>22.59</v>
      </c>
      <c r="H1846">
        <v>2.2589999999999999E-2</v>
      </c>
      <c r="L1846" s="37">
        <f>IF(H1846&gt;30,QUOTIENT(H1846,30)*VLOOKUP(D1846,'报价表-配送'!$B$61:$I$65,8,0),0)+IF(AND(MOD(H1846,30)&gt;18,MOD(H1846,30)&lt;=30),1,0)*VLOOKUP(D1846,'报价表-配送'!$B$61:$I$65,8,0)+IF(AND(MOD(H1846,30)&gt;8,MOD(H1846,30)&lt;=18),1*VLOOKUP(D1846,'报价表-配送'!$B$61:$I$65,7,0),0)+IF(AND(MOD(H1846,30)&lt;=8,MOD(H1846,30)&gt;2.5),1,0)*VLOOKUP(D1846,'报价表-配送'!$B$61:$I$65,6,0)+IF(AND(MOD(H1846,30)&lt;=2.5,MOD(H1846,30)&gt;=1.5),1,0)*VLOOKUP(D1846,'报价表-配送'!$B$61:$I$65,5,0)</f>
        <v>0</v>
      </c>
      <c r="M1846" s="39">
        <f>IF(AND(MOD(H1846,30)&lt;1.5,MOD(H1846,30)&gt;=0.5),H1846,0)*VLOOKUP(D1846,'报价表-配送'!$B$61:$I$65,4,0)*1000+IF(AND(MOD(H1846,30)&lt;0.5,MOD(H1846,30)&gt;=0.02),H1846,0)*VLOOKUP(D1846,'报价表-配送'!$B$61:$I$65,3,0)*1000+IF(AND(MOD(H1846,30)&lt;0.02),H1846,0)*VLOOKUP(D1846,'报价表-配送'!$B$61:$I$65,2,0)*1000</f>
        <v>0</v>
      </c>
      <c r="N1846" s="38">
        <f t="shared" si="28"/>
        <v>0</v>
      </c>
    </row>
    <row r="1847" spans="1:14" x14ac:dyDescent="0.25">
      <c r="A1847" s="56" t="s">
        <v>241</v>
      </c>
      <c r="B1847" s="43" t="s">
        <v>173</v>
      </c>
      <c r="C1847" s="62">
        <f>VLOOKUP(B1847,合并仓明细!$D$2:$F$74,3,0)</f>
        <v>163</v>
      </c>
      <c r="D1847" t="s">
        <v>413</v>
      </c>
      <c r="E1847" s="43" t="s">
        <v>261</v>
      </c>
      <c r="F1847" t="s">
        <v>68</v>
      </c>
      <c r="G1847" s="42">
        <v>214.22</v>
      </c>
      <c r="H1847">
        <v>3.3670899999999997</v>
      </c>
      <c r="I1847" s="46">
        <f>ROUNDUP(H1847/30,0)*VLOOKUP(D1847,'报价表-配送'!$B$61:$I$65,8,0)</f>
        <v>0</v>
      </c>
      <c r="N1847" s="38">
        <f t="shared" si="28"/>
        <v>0</v>
      </c>
    </row>
    <row r="1848" spans="1:14" x14ac:dyDescent="0.25">
      <c r="A1848" s="56" t="s">
        <v>241</v>
      </c>
      <c r="B1848" s="43" t="s">
        <v>173</v>
      </c>
      <c r="C1848" s="62">
        <f>VLOOKUP(B1848,合并仓明细!$D$2:$F$74,3,0)</f>
        <v>163</v>
      </c>
      <c r="D1848" t="s">
        <v>413</v>
      </c>
      <c r="E1848" s="43" t="s">
        <v>261</v>
      </c>
      <c r="F1848" t="s">
        <v>67</v>
      </c>
      <c r="G1848" s="42">
        <v>2815.35</v>
      </c>
      <c r="H1848"/>
      <c r="I1848" s="46"/>
      <c r="N1848" s="38">
        <f t="shared" si="28"/>
        <v>0</v>
      </c>
    </row>
    <row r="1849" spans="1:14" x14ac:dyDescent="0.25">
      <c r="A1849" s="56" t="s">
        <v>241</v>
      </c>
      <c r="B1849" s="43" t="s">
        <v>173</v>
      </c>
      <c r="C1849" s="62">
        <f>VLOOKUP(B1849,合并仓明细!$D$2:$F$74,3,0)</f>
        <v>163</v>
      </c>
      <c r="D1849" t="s">
        <v>413</v>
      </c>
      <c r="E1849" s="43" t="s">
        <v>261</v>
      </c>
      <c r="F1849" t="s">
        <v>66</v>
      </c>
      <c r="G1849" s="42">
        <v>337.5200000000001</v>
      </c>
      <c r="H1849"/>
      <c r="N1849" s="38">
        <f t="shared" si="28"/>
        <v>0</v>
      </c>
    </row>
    <row r="1850" spans="1:14" x14ac:dyDescent="0.25">
      <c r="A1850" s="56" t="s">
        <v>241</v>
      </c>
      <c r="B1850" s="43" t="s">
        <v>173</v>
      </c>
      <c r="C1850" s="62">
        <f>VLOOKUP(B1850,合并仓明细!$D$2:$F$74,3,0)</f>
        <v>163</v>
      </c>
      <c r="D1850" t="s">
        <v>413</v>
      </c>
      <c r="E1850" s="43" t="s">
        <v>307</v>
      </c>
      <c r="F1850" t="s">
        <v>68</v>
      </c>
      <c r="G1850" s="42">
        <v>12.77</v>
      </c>
      <c r="H1850">
        <v>6.7363600000000003</v>
      </c>
      <c r="I1850" s="46">
        <f>ROUNDUP(H1850/30,0)*VLOOKUP(D1850,'报价表-配送'!$B$61:$I$65,8,0)</f>
        <v>0</v>
      </c>
      <c r="N1850" s="38">
        <f t="shared" si="28"/>
        <v>0</v>
      </c>
    </row>
    <row r="1851" spans="1:14" x14ac:dyDescent="0.25">
      <c r="A1851" s="56" t="s">
        <v>241</v>
      </c>
      <c r="B1851" s="43" t="s">
        <v>173</v>
      </c>
      <c r="C1851" s="62">
        <f>VLOOKUP(B1851,合并仓明细!$D$2:$F$74,3,0)</f>
        <v>163</v>
      </c>
      <c r="D1851" t="s">
        <v>413</v>
      </c>
      <c r="E1851" s="43" t="s">
        <v>307</v>
      </c>
      <c r="F1851" t="s">
        <v>67</v>
      </c>
      <c r="G1851" s="42">
        <v>4575.54</v>
      </c>
      <c r="H1851"/>
      <c r="I1851" s="46"/>
      <c r="N1851" s="38">
        <f t="shared" si="28"/>
        <v>0</v>
      </c>
    </row>
    <row r="1852" spans="1:14" x14ac:dyDescent="0.25">
      <c r="A1852" s="56" t="s">
        <v>241</v>
      </c>
      <c r="B1852" s="43" t="s">
        <v>173</v>
      </c>
      <c r="C1852" s="62">
        <f>VLOOKUP(B1852,合并仓明细!$D$2:$F$74,3,0)</f>
        <v>163</v>
      </c>
      <c r="D1852" t="s">
        <v>413</v>
      </c>
      <c r="E1852" s="43" t="s">
        <v>307</v>
      </c>
      <c r="F1852" t="s">
        <v>66</v>
      </c>
      <c r="G1852" s="42">
        <v>2148.0500000000006</v>
      </c>
      <c r="H1852"/>
      <c r="N1852" s="38">
        <f t="shared" si="28"/>
        <v>0</v>
      </c>
    </row>
    <row r="1853" spans="1:14" x14ac:dyDescent="0.25">
      <c r="A1853" s="56" t="s">
        <v>241</v>
      </c>
      <c r="B1853" s="43" t="s">
        <v>173</v>
      </c>
      <c r="C1853" s="62">
        <f>VLOOKUP(B1853,合并仓明细!$D$2:$F$74,3,0)</f>
        <v>163</v>
      </c>
      <c r="D1853" t="s">
        <v>413</v>
      </c>
      <c r="E1853" s="43" t="s">
        <v>264</v>
      </c>
      <c r="F1853" t="s">
        <v>67</v>
      </c>
      <c r="G1853" s="42">
        <v>586.43999999999994</v>
      </c>
      <c r="H1853">
        <v>0.68064999999999998</v>
      </c>
      <c r="I1853" s="38">
        <f>IF(H1853&gt;30,QUOTIENT(H1853,30)*VLOOKUP(D1853,'报价表-配送'!$B$61:$I$65,8,0),0)+IF(AND(MOD(H1853,30)&gt;18,MOD(H1853,30)&lt;=30),1,0)*VLOOKUP(D1853,'报价表-配送'!$B$61:$I$65,8,0)</f>
        <v>0</v>
      </c>
      <c r="J1853" s="38">
        <f>IF(AND(MOD(H1853,30)&gt;8,MOD(H1853,30)&lt;=18),1*VLOOKUP(D1853,'报价表-配送'!$B$61:$I$65,7,0),0)</f>
        <v>0</v>
      </c>
      <c r="K1853" s="38">
        <f>IF(AND(MOD(H1853,30)&lt;=8,MOD(H1853,30)&gt;0),1,0)*VLOOKUP(D1853,'报价表-配送'!$B$61:$I$65,6,0)</f>
        <v>0</v>
      </c>
      <c r="N1853" s="38">
        <f t="shared" si="28"/>
        <v>0</v>
      </c>
    </row>
    <row r="1854" spans="1:14" x14ac:dyDescent="0.25">
      <c r="A1854" s="56" t="s">
        <v>241</v>
      </c>
      <c r="B1854" s="43" t="s">
        <v>173</v>
      </c>
      <c r="C1854" s="62">
        <f>VLOOKUP(B1854,合并仓明细!$D$2:$F$74,3,0)</f>
        <v>163</v>
      </c>
      <c r="D1854" t="s">
        <v>413</v>
      </c>
      <c r="E1854" s="43" t="s">
        <v>264</v>
      </c>
      <c r="F1854" t="s">
        <v>66</v>
      </c>
      <c r="G1854" s="42">
        <v>94.21</v>
      </c>
      <c r="H1854"/>
      <c r="I1854" s="46"/>
      <c r="N1854" s="38">
        <f t="shared" si="28"/>
        <v>0</v>
      </c>
    </row>
    <row r="1855" spans="1:14" x14ac:dyDescent="0.25">
      <c r="A1855" s="56" t="s">
        <v>241</v>
      </c>
      <c r="B1855" s="43" t="s">
        <v>173</v>
      </c>
      <c r="C1855" s="62">
        <f>VLOOKUP(B1855,合并仓明细!$D$2:$F$74,3,0)</f>
        <v>163</v>
      </c>
      <c r="D1855" t="s">
        <v>413</v>
      </c>
      <c r="E1855" s="43" t="s">
        <v>308</v>
      </c>
      <c r="F1855" t="s">
        <v>68</v>
      </c>
      <c r="G1855" s="42">
        <v>4078.8</v>
      </c>
      <c r="H1855">
        <v>8.065100000000001</v>
      </c>
      <c r="I1855" s="46">
        <f>ROUNDUP(H1855/30,0)*VLOOKUP(D1855,'报价表-配送'!$B$61:$I$65,8,0)</f>
        <v>0</v>
      </c>
      <c r="N1855" s="38">
        <f t="shared" si="28"/>
        <v>0</v>
      </c>
    </row>
    <row r="1856" spans="1:14" x14ac:dyDescent="0.25">
      <c r="A1856" s="56" t="s">
        <v>241</v>
      </c>
      <c r="B1856" s="43" t="s">
        <v>173</v>
      </c>
      <c r="C1856" s="62">
        <f>VLOOKUP(B1856,合并仓明细!$D$2:$F$74,3,0)</f>
        <v>163</v>
      </c>
      <c r="D1856" t="s">
        <v>413</v>
      </c>
      <c r="E1856" s="43" t="s">
        <v>308</v>
      </c>
      <c r="F1856" t="s">
        <v>67</v>
      </c>
      <c r="G1856" s="42">
        <v>3784.28</v>
      </c>
      <c r="H1856"/>
      <c r="N1856" s="38">
        <f t="shared" si="28"/>
        <v>0</v>
      </c>
    </row>
    <row r="1857" spans="1:14" x14ac:dyDescent="0.25">
      <c r="A1857" s="56" t="s">
        <v>241</v>
      </c>
      <c r="B1857" s="43" t="s">
        <v>173</v>
      </c>
      <c r="C1857" s="62">
        <f>VLOOKUP(B1857,合并仓明细!$D$2:$F$74,3,0)</f>
        <v>163</v>
      </c>
      <c r="D1857" t="s">
        <v>413</v>
      </c>
      <c r="E1857" s="43" t="s">
        <v>308</v>
      </c>
      <c r="F1857" t="s">
        <v>66</v>
      </c>
      <c r="G1857" s="42">
        <v>202.01999999999998</v>
      </c>
      <c r="H1857"/>
      <c r="I1857" s="46"/>
      <c r="N1857" s="38">
        <f t="shared" si="28"/>
        <v>0</v>
      </c>
    </row>
    <row r="1858" spans="1:14" x14ac:dyDescent="0.25">
      <c r="A1858" s="56" t="s">
        <v>241</v>
      </c>
      <c r="B1858" s="43" t="s">
        <v>173</v>
      </c>
      <c r="C1858" s="62">
        <f>VLOOKUP(B1858,合并仓明细!$D$2:$F$74,3,0)</f>
        <v>163</v>
      </c>
      <c r="D1858" t="s">
        <v>413</v>
      </c>
      <c r="E1858" s="43" t="s">
        <v>344</v>
      </c>
      <c r="F1858" t="s">
        <v>66</v>
      </c>
      <c r="G1858" s="42">
        <v>5.46</v>
      </c>
      <c r="H1858">
        <v>5.4599999999999996E-3</v>
      </c>
      <c r="L1858" s="37">
        <f>IF(H1858&gt;30,QUOTIENT(H1858,30)*VLOOKUP(D1858,'报价表-配送'!$B$61:$I$65,8,0),0)+IF(AND(MOD(H1858,30)&gt;18,MOD(H1858,30)&lt;=30),1,0)*VLOOKUP(D1858,'报价表-配送'!$B$61:$I$65,8,0)+IF(AND(MOD(H1858,30)&gt;8,MOD(H1858,30)&lt;=18),1*VLOOKUP(D1858,'报价表-配送'!$B$61:$I$65,7,0),0)+IF(AND(MOD(H1858,30)&lt;=8,MOD(H1858,30)&gt;2.5),1,0)*VLOOKUP(D1858,'报价表-配送'!$B$61:$I$65,6,0)+IF(AND(MOD(H1858,30)&lt;=2.5,MOD(H1858,30)&gt;=1.5),1,0)*VLOOKUP(D1858,'报价表-配送'!$B$61:$I$65,5,0)</f>
        <v>0</v>
      </c>
      <c r="M1858" s="39">
        <f>IF(AND(MOD(H1858,30)&lt;1.5,MOD(H1858,30)&gt;=0.5),H1858,0)*VLOOKUP(D1858,'报价表-配送'!$B$61:$I$65,4,0)*1000+IF(AND(MOD(H1858,30)&lt;0.5,MOD(H1858,30)&gt;=0.02),H1858,0)*VLOOKUP(D1858,'报价表-配送'!$B$61:$I$65,3,0)*1000+IF(AND(MOD(H1858,30)&lt;0.02),H1858,0)*VLOOKUP(D1858,'报价表-配送'!$B$61:$I$65,2,0)*1000</f>
        <v>0</v>
      </c>
      <c r="N1858" s="38">
        <f t="shared" si="28"/>
        <v>0</v>
      </c>
    </row>
    <row r="1859" spans="1:14" x14ac:dyDescent="0.25">
      <c r="A1859" s="56" t="s">
        <v>241</v>
      </c>
      <c r="B1859" s="43" t="s">
        <v>173</v>
      </c>
      <c r="C1859" s="62">
        <f>VLOOKUP(B1859,合并仓明细!$D$2:$F$74,3,0)</f>
        <v>163</v>
      </c>
      <c r="D1859" t="s">
        <v>413</v>
      </c>
      <c r="E1859" s="43" t="s">
        <v>265</v>
      </c>
      <c r="F1859" t="s">
        <v>66</v>
      </c>
      <c r="G1859" s="42">
        <v>371.36000000000007</v>
      </c>
      <c r="H1859">
        <v>0.37136000000000008</v>
      </c>
      <c r="L1859" s="37">
        <f>IF(H1859&gt;30,QUOTIENT(H1859,30)*VLOOKUP(D1859,'报价表-配送'!$B$61:$I$65,8,0),0)+IF(AND(MOD(H1859,30)&gt;18,MOD(H1859,30)&lt;=30),1,0)*VLOOKUP(D1859,'报价表-配送'!$B$61:$I$65,8,0)+IF(AND(MOD(H1859,30)&gt;8,MOD(H1859,30)&lt;=18),1*VLOOKUP(D1859,'报价表-配送'!$B$61:$I$65,7,0),0)+IF(AND(MOD(H1859,30)&lt;=8,MOD(H1859,30)&gt;2.5),1,0)*VLOOKUP(D1859,'报价表-配送'!$B$61:$I$65,6,0)+IF(AND(MOD(H1859,30)&lt;=2.5,MOD(H1859,30)&gt;=1.5),1,0)*VLOOKUP(D1859,'报价表-配送'!$B$61:$I$65,5,0)</f>
        <v>0</v>
      </c>
      <c r="M1859" s="39">
        <f>IF(AND(MOD(H1859,30)&lt;1.5,MOD(H1859,30)&gt;=0.5),H1859,0)*VLOOKUP(D1859,'报价表-配送'!$B$61:$I$65,4,0)*1000+IF(AND(MOD(H1859,30)&lt;0.5,MOD(H1859,30)&gt;=0.02),H1859,0)*VLOOKUP(D1859,'报价表-配送'!$B$61:$I$65,3,0)*1000+IF(AND(MOD(H1859,30)&lt;0.02),H1859,0)*VLOOKUP(D1859,'报价表-配送'!$B$61:$I$65,2,0)*1000</f>
        <v>0</v>
      </c>
      <c r="N1859" s="38">
        <f t="shared" si="28"/>
        <v>0</v>
      </c>
    </row>
    <row r="1860" spans="1:14" x14ac:dyDescent="0.25">
      <c r="A1860" s="56" t="s">
        <v>241</v>
      </c>
      <c r="B1860" s="43" t="s">
        <v>173</v>
      </c>
      <c r="C1860" s="62">
        <f>VLOOKUP(B1860,合并仓明细!$D$2:$F$74,3,0)</f>
        <v>163</v>
      </c>
      <c r="D1860" t="s">
        <v>413</v>
      </c>
      <c r="E1860" s="43" t="s">
        <v>333</v>
      </c>
      <c r="F1860" t="s">
        <v>68</v>
      </c>
      <c r="G1860" s="42">
        <v>913.57999999999993</v>
      </c>
      <c r="H1860">
        <v>8.2016199999999984</v>
      </c>
      <c r="I1860" s="46">
        <f>ROUNDUP(H1860/30,0)*VLOOKUP(D1860,'报价表-配送'!$B$61:$I$65,8,0)</f>
        <v>0</v>
      </c>
      <c r="N1860" s="38">
        <f t="shared" si="28"/>
        <v>0</v>
      </c>
    </row>
    <row r="1861" spans="1:14" x14ac:dyDescent="0.25">
      <c r="A1861" s="56" t="s">
        <v>241</v>
      </c>
      <c r="B1861" s="43" t="s">
        <v>173</v>
      </c>
      <c r="C1861" s="62">
        <f>VLOOKUP(B1861,合并仓明细!$D$2:$F$74,3,0)</f>
        <v>163</v>
      </c>
      <c r="D1861" t="s">
        <v>413</v>
      </c>
      <c r="E1861" s="43" t="s">
        <v>333</v>
      </c>
      <c r="F1861" t="s">
        <v>67</v>
      </c>
      <c r="G1861" s="42">
        <v>5466.0399999999991</v>
      </c>
      <c r="H1861"/>
      <c r="N1861" s="38">
        <f t="shared" si="28"/>
        <v>0</v>
      </c>
    </row>
    <row r="1862" spans="1:14" x14ac:dyDescent="0.25">
      <c r="A1862" s="56" t="s">
        <v>241</v>
      </c>
      <c r="B1862" s="43" t="s">
        <v>173</v>
      </c>
      <c r="C1862" s="62">
        <f>VLOOKUP(B1862,合并仓明细!$D$2:$F$74,3,0)</f>
        <v>163</v>
      </c>
      <c r="D1862" t="s">
        <v>413</v>
      </c>
      <c r="E1862" s="43" t="s">
        <v>333</v>
      </c>
      <c r="F1862" t="s">
        <v>66</v>
      </c>
      <c r="G1862" s="42">
        <v>1821.9999999999995</v>
      </c>
      <c r="H1862"/>
      <c r="N1862" s="38">
        <f t="shared" si="28"/>
        <v>0</v>
      </c>
    </row>
    <row r="1863" spans="1:14" x14ac:dyDescent="0.25">
      <c r="A1863" s="56" t="s">
        <v>241</v>
      </c>
      <c r="B1863" s="43" t="s">
        <v>173</v>
      </c>
      <c r="C1863" s="62">
        <f>VLOOKUP(B1863,合并仓明细!$D$2:$F$74,3,0)</f>
        <v>163</v>
      </c>
      <c r="D1863" t="s">
        <v>413</v>
      </c>
      <c r="E1863" s="43" t="s">
        <v>369</v>
      </c>
      <c r="F1863" t="s">
        <v>66</v>
      </c>
      <c r="G1863" s="42">
        <v>155.59999999999997</v>
      </c>
      <c r="H1863">
        <v>0.15559999999999996</v>
      </c>
      <c r="I1863" s="46"/>
      <c r="L1863" s="37">
        <f>IF(H1863&gt;30,QUOTIENT(H1863,30)*VLOOKUP(D1863,'报价表-配送'!$B$61:$I$65,8,0),0)+IF(AND(MOD(H1863,30)&gt;18,MOD(H1863,30)&lt;=30),1,0)*VLOOKUP(D1863,'报价表-配送'!$B$61:$I$65,8,0)+IF(AND(MOD(H1863,30)&gt;8,MOD(H1863,30)&lt;=18),1*VLOOKUP(D1863,'报价表-配送'!$B$61:$I$65,7,0),0)+IF(AND(MOD(H1863,30)&lt;=8,MOD(H1863,30)&gt;2.5),1,0)*VLOOKUP(D1863,'报价表-配送'!$B$61:$I$65,6,0)+IF(AND(MOD(H1863,30)&lt;=2.5,MOD(H1863,30)&gt;=1.5),1,0)*VLOOKUP(D1863,'报价表-配送'!$B$61:$I$65,5,0)</f>
        <v>0</v>
      </c>
      <c r="M1863" s="39">
        <f>IF(AND(MOD(H1863,30)&lt;1.5,MOD(H1863,30)&gt;=0.5),H1863,0)*VLOOKUP(D1863,'报价表-配送'!$B$61:$I$65,4,0)*1000+IF(AND(MOD(H1863,30)&lt;0.5,MOD(H1863,30)&gt;=0.02),H1863,0)*VLOOKUP(D1863,'报价表-配送'!$B$61:$I$65,3,0)*1000+IF(AND(MOD(H1863,30)&lt;0.02),H1863,0)*VLOOKUP(D1863,'报价表-配送'!$B$61:$I$65,2,0)*1000</f>
        <v>0</v>
      </c>
      <c r="N1863" s="38">
        <f t="shared" si="28"/>
        <v>0</v>
      </c>
    </row>
    <row r="1864" spans="1:14" x14ac:dyDescent="0.25">
      <c r="A1864" s="56" t="s">
        <v>241</v>
      </c>
      <c r="B1864" s="43" t="s">
        <v>173</v>
      </c>
      <c r="C1864" s="62">
        <f>VLOOKUP(B1864,合并仓明细!$D$2:$F$74,3,0)</f>
        <v>163</v>
      </c>
      <c r="D1864" t="s">
        <v>413</v>
      </c>
      <c r="E1864" s="43" t="s">
        <v>266</v>
      </c>
      <c r="F1864" t="s">
        <v>67</v>
      </c>
      <c r="G1864" s="42">
        <v>465.44</v>
      </c>
      <c r="H1864">
        <v>0.60553000000000001</v>
      </c>
      <c r="I1864" s="38">
        <f>IF(H1864&gt;30,QUOTIENT(H1864,30)*VLOOKUP(D1864,'报价表-配送'!$B$61:$I$65,8,0),0)+IF(AND(MOD(H1864,30)&gt;18,MOD(H1864,30)&lt;=30),1,0)*VLOOKUP(D1864,'报价表-配送'!$B$61:$I$65,8,0)</f>
        <v>0</v>
      </c>
      <c r="J1864" s="38">
        <f>IF(AND(MOD(H1864,30)&gt;8,MOD(H1864,30)&lt;=18),1*VLOOKUP(D1864,'报价表-配送'!$B$61:$I$65,7,0),0)</f>
        <v>0</v>
      </c>
      <c r="K1864" s="38">
        <f>IF(AND(MOD(H1864,30)&lt;=8,MOD(H1864,30)&gt;0),1,0)*VLOOKUP(D1864,'报价表-配送'!$B$61:$I$65,6,0)</f>
        <v>0</v>
      </c>
      <c r="N1864" s="38">
        <f t="shared" si="28"/>
        <v>0</v>
      </c>
    </row>
    <row r="1865" spans="1:14" x14ac:dyDescent="0.25">
      <c r="A1865" s="56" t="s">
        <v>241</v>
      </c>
      <c r="B1865" s="43" t="s">
        <v>173</v>
      </c>
      <c r="C1865" s="62">
        <f>VLOOKUP(B1865,合并仓明细!$D$2:$F$74,3,0)</f>
        <v>163</v>
      </c>
      <c r="D1865" t="s">
        <v>413</v>
      </c>
      <c r="E1865" s="43" t="s">
        <v>266</v>
      </c>
      <c r="F1865" t="s">
        <v>66</v>
      </c>
      <c r="G1865" s="42">
        <v>140.09</v>
      </c>
      <c r="H1865"/>
      <c r="N1865" s="38">
        <f t="shared" si="28"/>
        <v>0</v>
      </c>
    </row>
    <row r="1866" spans="1:14" x14ac:dyDescent="0.25">
      <c r="A1866" s="56" t="s">
        <v>241</v>
      </c>
      <c r="B1866" s="43" t="s">
        <v>173</v>
      </c>
      <c r="C1866" s="62">
        <f>VLOOKUP(B1866,合并仓明细!$D$2:$F$74,3,0)</f>
        <v>163</v>
      </c>
      <c r="D1866" t="s">
        <v>413</v>
      </c>
      <c r="E1866" s="43" t="s">
        <v>334</v>
      </c>
      <c r="F1866" t="s">
        <v>67</v>
      </c>
      <c r="G1866" s="42">
        <v>1216.5700000000002</v>
      </c>
      <c r="H1866">
        <v>1.6988000000000001</v>
      </c>
      <c r="I1866" s="38">
        <f>IF(H1866&gt;30,QUOTIENT(H1866,30)*VLOOKUP(D1866,'报价表-配送'!$B$61:$I$65,8,0),0)+IF(AND(MOD(H1866,30)&gt;18,MOD(H1866,30)&lt;=30),1,0)*VLOOKUP(D1866,'报价表-配送'!$B$61:$I$65,8,0)</f>
        <v>0</v>
      </c>
      <c r="J1866" s="38">
        <f>IF(AND(MOD(H1866,30)&gt;8,MOD(H1866,30)&lt;=18),1*VLOOKUP(D1866,'报价表-配送'!$B$61:$I$65,7,0),0)</f>
        <v>0</v>
      </c>
      <c r="K1866" s="38">
        <f>IF(AND(MOD(H1866,30)&lt;=8,MOD(H1866,30)&gt;0),1,0)*VLOOKUP(D1866,'报价表-配送'!$B$61:$I$65,6,0)</f>
        <v>0</v>
      </c>
      <c r="L1866" s="57"/>
      <c r="M1866" s="37"/>
      <c r="N1866" s="38">
        <f t="shared" si="28"/>
        <v>0</v>
      </c>
    </row>
    <row r="1867" spans="1:14" x14ac:dyDescent="0.25">
      <c r="A1867" s="56" t="s">
        <v>241</v>
      </c>
      <c r="B1867" s="43" t="s">
        <v>173</v>
      </c>
      <c r="C1867" s="62">
        <f>VLOOKUP(B1867,合并仓明细!$D$2:$F$74,3,0)</f>
        <v>163</v>
      </c>
      <c r="D1867" t="s">
        <v>413</v>
      </c>
      <c r="E1867" s="43" t="s">
        <v>334</v>
      </c>
      <c r="F1867" t="s">
        <v>66</v>
      </c>
      <c r="G1867" s="42">
        <v>482.22999999999996</v>
      </c>
      <c r="H1867"/>
      <c r="N1867" s="38">
        <f t="shared" si="28"/>
        <v>0</v>
      </c>
    </row>
    <row r="1868" spans="1:14" x14ac:dyDescent="0.25">
      <c r="A1868" s="56" t="s">
        <v>241</v>
      </c>
      <c r="B1868" s="43" t="s">
        <v>173</v>
      </c>
      <c r="C1868" s="62">
        <f>VLOOKUP(B1868,合并仓明细!$D$2:$F$74,3,0)</f>
        <v>163</v>
      </c>
      <c r="D1868" t="s">
        <v>413</v>
      </c>
      <c r="E1868" s="43" t="s">
        <v>267</v>
      </c>
      <c r="F1868" t="s">
        <v>68</v>
      </c>
      <c r="G1868" s="42">
        <v>405.71</v>
      </c>
      <c r="H1868">
        <v>1.3249299999999997</v>
      </c>
      <c r="I1868" s="46">
        <f>ROUNDUP(H1868/30,0)*VLOOKUP(D1868,'报价表-配送'!$B$61:$I$65,8,0)</f>
        <v>0</v>
      </c>
      <c r="N1868" s="38">
        <f t="shared" si="28"/>
        <v>0</v>
      </c>
    </row>
    <row r="1869" spans="1:14" x14ac:dyDescent="0.25">
      <c r="A1869" s="56" t="s">
        <v>241</v>
      </c>
      <c r="B1869" s="43" t="s">
        <v>173</v>
      </c>
      <c r="C1869" s="62">
        <f>VLOOKUP(B1869,合并仓明细!$D$2:$F$74,3,0)</f>
        <v>163</v>
      </c>
      <c r="D1869" t="s">
        <v>413</v>
      </c>
      <c r="E1869" s="43" t="s">
        <v>267</v>
      </c>
      <c r="F1869" t="s">
        <v>67</v>
      </c>
      <c r="G1869" s="42">
        <v>34.15</v>
      </c>
      <c r="H1869"/>
      <c r="N1869" s="38">
        <f t="shared" si="28"/>
        <v>0</v>
      </c>
    </row>
    <row r="1870" spans="1:14" x14ac:dyDescent="0.25">
      <c r="A1870" s="56" t="s">
        <v>241</v>
      </c>
      <c r="B1870" s="43" t="s">
        <v>173</v>
      </c>
      <c r="C1870" s="62">
        <f>VLOOKUP(B1870,合并仓明细!$D$2:$F$74,3,0)</f>
        <v>163</v>
      </c>
      <c r="D1870" t="s">
        <v>413</v>
      </c>
      <c r="E1870" s="43" t="s">
        <v>267</v>
      </c>
      <c r="F1870" t="s">
        <v>66</v>
      </c>
      <c r="G1870" s="42">
        <v>885.06999999999971</v>
      </c>
      <c r="H1870"/>
      <c r="N1870" s="38">
        <f t="shared" si="28"/>
        <v>0</v>
      </c>
    </row>
    <row r="1871" spans="1:14" x14ac:dyDescent="0.25">
      <c r="A1871" s="56" t="s">
        <v>241</v>
      </c>
      <c r="B1871" s="43" t="s">
        <v>173</v>
      </c>
      <c r="C1871" s="62">
        <f>VLOOKUP(B1871,合并仓明细!$D$2:$F$74,3,0)</f>
        <v>163</v>
      </c>
      <c r="D1871" t="s">
        <v>413</v>
      </c>
      <c r="E1871" s="43" t="s">
        <v>258</v>
      </c>
      <c r="F1871" t="s">
        <v>68</v>
      </c>
      <c r="G1871" s="42">
        <v>809.44</v>
      </c>
      <c r="H1871">
        <v>1.1925599999999998</v>
      </c>
      <c r="I1871" s="46">
        <f>ROUNDUP(H1871/30,0)*VLOOKUP(D1871,'报价表-配送'!$B$61:$I$65,8,0)</f>
        <v>0</v>
      </c>
      <c r="N1871" s="38">
        <f t="shared" si="28"/>
        <v>0</v>
      </c>
    </row>
    <row r="1872" spans="1:14" x14ac:dyDescent="0.25">
      <c r="A1872" s="56" t="s">
        <v>241</v>
      </c>
      <c r="B1872" s="43" t="s">
        <v>173</v>
      </c>
      <c r="C1872" s="62">
        <f>VLOOKUP(B1872,合并仓明细!$D$2:$F$74,3,0)</f>
        <v>163</v>
      </c>
      <c r="D1872" t="s">
        <v>413</v>
      </c>
      <c r="E1872" s="43" t="s">
        <v>258</v>
      </c>
      <c r="F1872" t="s">
        <v>66</v>
      </c>
      <c r="G1872" s="42">
        <v>383.11999999999995</v>
      </c>
      <c r="H1872"/>
      <c r="N1872" s="38">
        <f t="shared" si="28"/>
        <v>0</v>
      </c>
    </row>
    <row r="1873" spans="1:14" x14ac:dyDescent="0.25">
      <c r="A1873" s="56" t="s">
        <v>241</v>
      </c>
      <c r="B1873" s="43" t="s">
        <v>173</v>
      </c>
      <c r="C1873" s="62">
        <f>VLOOKUP(B1873,合并仓明细!$D$2:$F$74,3,0)</f>
        <v>163</v>
      </c>
      <c r="D1873" t="s">
        <v>413</v>
      </c>
      <c r="E1873" s="43" t="s">
        <v>268</v>
      </c>
      <c r="F1873" t="s">
        <v>67</v>
      </c>
      <c r="G1873" s="42">
        <v>40.049999999999997</v>
      </c>
      <c r="H1873">
        <v>4.7099999999999996E-2</v>
      </c>
      <c r="I1873" s="38">
        <f>IF(H1873&gt;30,QUOTIENT(H1873,30)*VLOOKUP(D1873,'报价表-配送'!$B$61:$I$65,8,0),0)+IF(AND(MOD(H1873,30)&gt;18,MOD(H1873,30)&lt;=30),1,0)*VLOOKUP(D1873,'报价表-配送'!$B$61:$I$65,8,0)</f>
        <v>0</v>
      </c>
      <c r="J1873" s="38">
        <f>IF(AND(MOD(H1873,30)&gt;8,MOD(H1873,30)&lt;=18),1*VLOOKUP(D1873,'报价表-配送'!$B$61:$I$65,7,0),0)</f>
        <v>0</v>
      </c>
      <c r="K1873" s="38">
        <f>IF(AND(MOD(H1873,30)&lt;=8,MOD(H1873,30)&gt;0),1,0)*VLOOKUP(D1873,'报价表-配送'!$B$61:$I$65,6,0)</f>
        <v>0</v>
      </c>
      <c r="N1873" s="38">
        <f t="shared" si="28"/>
        <v>0</v>
      </c>
    </row>
    <row r="1874" spans="1:14" x14ac:dyDescent="0.25">
      <c r="A1874" s="56" t="s">
        <v>241</v>
      </c>
      <c r="B1874" s="43" t="s">
        <v>173</v>
      </c>
      <c r="C1874" s="62">
        <f>VLOOKUP(B1874,合并仓明细!$D$2:$F$74,3,0)</f>
        <v>163</v>
      </c>
      <c r="D1874" t="s">
        <v>413</v>
      </c>
      <c r="E1874" s="43" t="s">
        <v>268</v>
      </c>
      <c r="F1874" t="s">
        <v>66</v>
      </c>
      <c r="G1874" s="42">
        <v>7.0499999999999989</v>
      </c>
      <c r="H1874"/>
      <c r="I1874" s="46"/>
      <c r="N1874" s="38">
        <f t="shared" si="28"/>
        <v>0</v>
      </c>
    </row>
    <row r="1875" spans="1:14" x14ac:dyDescent="0.25">
      <c r="A1875" s="56" t="s">
        <v>241</v>
      </c>
      <c r="B1875" s="43" t="s">
        <v>173</v>
      </c>
      <c r="C1875" s="62">
        <f>VLOOKUP(B1875,合并仓明细!$D$2:$F$74,3,0)</f>
        <v>163</v>
      </c>
      <c r="D1875" t="s">
        <v>413</v>
      </c>
      <c r="E1875" s="43" t="s">
        <v>270</v>
      </c>
      <c r="F1875" t="s">
        <v>66</v>
      </c>
      <c r="G1875" s="42">
        <v>58.540000000000006</v>
      </c>
      <c r="H1875">
        <v>5.8540000000000009E-2</v>
      </c>
      <c r="L1875" s="37">
        <f>IF(H1875&gt;30,QUOTIENT(H1875,30)*VLOOKUP(D1875,'报价表-配送'!$B$61:$I$65,8,0),0)+IF(AND(MOD(H1875,30)&gt;18,MOD(H1875,30)&lt;=30),1,0)*VLOOKUP(D1875,'报价表-配送'!$B$61:$I$65,8,0)+IF(AND(MOD(H1875,30)&gt;8,MOD(H1875,30)&lt;=18),1*VLOOKUP(D1875,'报价表-配送'!$B$61:$I$65,7,0),0)+IF(AND(MOD(H1875,30)&lt;=8,MOD(H1875,30)&gt;2.5),1,0)*VLOOKUP(D1875,'报价表-配送'!$B$61:$I$65,6,0)+IF(AND(MOD(H1875,30)&lt;=2.5,MOD(H1875,30)&gt;=1.5),1,0)*VLOOKUP(D1875,'报价表-配送'!$B$61:$I$65,5,0)</f>
        <v>0</v>
      </c>
      <c r="M1875" s="39">
        <f>IF(AND(MOD(H1875,30)&lt;1.5,MOD(H1875,30)&gt;=0.5),H1875,0)*VLOOKUP(D1875,'报价表-配送'!$B$61:$I$65,4,0)*1000+IF(AND(MOD(H1875,30)&lt;0.5,MOD(H1875,30)&gt;=0.02),H1875,0)*VLOOKUP(D1875,'报价表-配送'!$B$61:$I$65,3,0)*1000+IF(AND(MOD(H1875,30)&lt;0.02),H1875,0)*VLOOKUP(D1875,'报价表-配送'!$B$61:$I$65,2,0)*1000</f>
        <v>0</v>
      </c>
      <c r="N1875" s="38">
        <f t="shared" si="28"/>
        <v>0</v>
      </c>
    </row>
    <row r="1876" spans="1:14" x14ac:dyDescent="0.25">
      <c r="A1876" s="56" t="s">
        <v>241</v>
      </c>
      <c r="B1876" s="45" t="s">
        <v>173</v>
      </c>
      <c r="C1876" s="62">
        <f>VLOOKUP(B1876,合并仓明细!$D$2:$F$74,3,0)</f>
        <v>163</v>
      </c>
      <c r="D1876" t="s">
        <v>413</v>
      </c>
      <c r="E1876" s="43" t="s">
        <v>271</v>
      </c>
      <c r="F1876" t="s">
        <v>68</v>
      </c>
      <c r="G1876" s="42">
        <v>127.71</v>
      </c>
      <c r="H1876">
        <v>1.59944</v>
      </c>
      <c r="I1876" s="46">
        <f>ROUNDUP(H1876/30,0)*VLOOKUP(D1876,'报价表-配送'!$B$61:$I$65,8,0)</f>
        <v>0</v>
      </c>
      <c r="N1876" s="38">
        <f t="shared" si="28"/>
        <v>0</v>
      </c>
    </row>
    <row r="1877" spans="1:14" x14ac:dyDescent="0.25">
      <c r="A1877" s="56" t="s">
        <v>241</v>
      </c>
      <c r="B1877" s="44" t="s">
        <v>173</v>
      </c>
      <c r="C1877" s="62">
        <f>VLOOKUP(B1877,合并仓明细!$D$2:$F$74,3,0)</f>
        <v>163</v>
      </c>
      <c r="D1877" t="s">
        <v>413</v>
      </c>
      <c r="E1877" s="43" t="s">
        <v>271</v>
      </c>
      <c r="F1877" t="s">
        <v>67</v>
      </c>
      <c r="G1877" s="42">
        <v>1211.5</v>
      </c>
      <c r="H1877"/>
      <c r="N1877" s="38">
        <f t="shared" si="28"/>
        <v>0</v>
      </c>
    </row>
    <row r="1878" spans="1:14" x14ac:dyDescent="0.25">
      <c r="A1878" s="56" t="s">
        <v>241</v>
      </c>
      <c r="B1878" s="43" t="s">
        <v>173</v>
      </c>
      <c r="C1878" s="62">
        <f>VLOOKUP(B1878,合并仓明细!$D$2:$F$74,3,0)</f>
        <v>163</v>
      </c>
      <c r="D1878" t="s">
        <v>413</v>
      </c>
      <c r="E1878" s="43" t="s">
        <v>271</v>
      </c>
      <c r="F1878" t="s">
        <v>66</v>
      </c>
      <c r="G1878" s="42">
        <v>260.23</v>
      </c>
      <c r="H1878"/>
      <c r="N1878" s="38">
        <f t="shared" si="28"/>
        <v>0</v>
      </c>
    </row>
    <row r="1879" spans="1:14" x14ac:dyDescent="0.25">
      <c r="A1879" s="56" t="s">
        <v>241</v>
      </c>
      <c r="B1879" s="43" t="s">
        <v>173</v>
      </c>
      <c r="C1879" s="62">
        <f>VLOOKUP(B1879,合并仓明细!$D$2:$F$74,3,0)</f>
        <v>163</v>
      </c>
      <c r="D1879" t="s">
        <v>413</v>
      </c>
      <c r="E1879" s="43" t="s">
        <v>272</v>
      </c>
      <c r="F1879" t="s">
        <v>67</v>
      </c>
      <c r="G1879" s="42">
        <v>1444.5700000000002</v>
      </c>
      <c r="H1879">
        <v>1.4445700000000001</v>
      </c>
      <c r="I1879" s="38">
        <f>IF(H1879&gt;30,QUOTIENT(H1879,30)*VLOOKUP(D1879,'报价表-配送'!$B$61:$I$65,8,0),0)+IF(AND(MOD(H1879,30)&gt;18,MOD(H1879,30)&lt;=30),1,0)*VLOOKUP(D1879,'报价表-配送'!$B$61:$I$65,8,0)</f>
        <v>0</v>
      </c>
      <c r="J1879" s="38">
        <f>IF(AND(MOD(H1879,30)&gt;8,MOD(H1879,30)&lt;=18),1*VLOOKUP(D1879,'报价表-配送'!$B$61:$I$65,7,0),0)</f>
        <v>0</v>
      </c>
      <c r="K1879" s="38">
        <f>IF(AND(MOD(H1879,30)&lt;=8,MOD(H1879,30)&gt;0),1,0)*VLOOKUP(D1879,'报价表-配送'!$B$61:$I$65,6,0)</f>
        <v>0</v>
      </c>
      <c r="N1879" s="38">
        <f t="shared" si="28"/>
        <v>0</v>
      </c>
    </row>
    <row r="1880" spans="1:14" x14ac:dyDescent="0.25">
      <c r="A1880" s="56" t="s">
        <v>241</v>
      </c>
      <c r="B1880" s="43" t="s">
        <v>173</v>
      </c>
      <c r="C1880" s="62">
        <f>VLOOKUP(B1880,合并仓明细!$D$2:$F$74,3,0)</f>
        <v>163</v>
      </c>
      <c r="D1880" t="s">
        <v>413</v>
      </c>
      <c r="E1880" s="43" t="s">
        <v>259</v>
      </c>
      <c r="F1880" t="s">
        <v>66</v>
      </c>
      <c r="G1880" s="42">
        <v>95.469999999999985</v>
      </c>
      <c r="H1880">
        <v>9.5469999999999985E-2</v>
      </c>
      <c r="L1880" s="37">
        <f>IF(H1880&gt;30,QUOTIENT(H1880,30)*VLOOKUP(D1880,'报价表-配送'!$B$61:$I$65,8,0),0)+IF(AND(MOD(H1880,30)&gt;18,MOD(H1880,30)&lt;=30),1,0)*VLOOKUP(D1880,'报价表-配送'!$B$61:$I$65,8,0)+IF(AND(MOD(H1880,30)&gt;8,MOD(H1880,30)&lt;=18),1*VLOOKUP(D1880,'报价表-配送'!$B$61:$I$65,7,0),0)+IF(AND(MOD(H1880,30)&lt;=8,MOD(H1880,30)&gt;2.5),1,0)*VLOOKUP(D1880,'报价表-配送'!$B$61:$I$65,6,0)+IF(AND(MOD(H1880,30)&lt;=2.5,MOD(H1880,30)&gt;=1.5),1,0)*VLOOKUP(D1880,'报价表-配送'!$B$61:$I$65,5,0)</f>
        <v>0</v>
      </c>
      <c r="M1880" s="39">
        <f>IF(AND(MOD(H1880,30)&lt;1.5,MOD(H1880,30)&gt;=0.5),H1880,0)*VLOOKUP(D1880,'报价表-配送'!$B$61:$I$65,4,0)*1000+IF(AND(MOD(H1880,30)&lt;0.5,MOD(H1880,30)&gt;=0.02),H1880,0)*VLOOKUP(D1880,'报价表-配送'!$B$61:$I$65,3,0)*1000+IF(AND(MOD(H1880,30)&lt;0.02),H1880,0)*VLOOKUP(D1880,'报价表-配送'!$B$61:$I$65,2,0)*1000</f>
        <v>0</v>
      </c>
      <c r="N1880" s="38">
        <f t="shared" si="28"/>
        <v>0</v>
      </c>
    </row>
    <row r="1881" spans="1:14" x14ac:dyDescent="0.25">
      <c r="A1881" s="56" t="s">
        <v>241</v>
      </c>
      <c r="B1881" s="43" t="s">
        <v>173</v>
      </c>
      <c r="C1881" s="62">
        <f>VLOOKUP(B1881,合并仓明细!$D$2:$F$74,3,0)</f>
        <v>163</v>
      </c>
      <c r="D1881" t="s">
        <v>413</v>
      </c>
      <c r="E1881" s="43" t="s">
        <v>322</v>
      </c>
      <c r="F1881" t="s">
        <v>67</v>
      </c>
      <c r="G1881" s="42">
        <v>136.16999999999999</v>
      </c>
      <c r="H1881">
        <v>1.98942</v>
      </c>
      <c r="I1881" s="38">
        <f>IF(H1881&gt;30,QUOTIENT(H1881,30)*VLOOKUP(D1881,'报价表-配送'!$B$61:$I$65,8,0),0)+IF(AND(MOD(H1881,30)&gt;18,MOD(H1881,30)&lt;=30),1,0)*VLOOKUP(D1881,'报价表-配送'!$B$61:$I$65,8,0)</f>
        <v>0</v>
      </c>
      <c r="J1881" s="38">
        <f>IF(AND(MOD(H1881,30)&gt;8,MOD(H1881,30)&lt;=18),1*VLOOKUP(D1881,'报价表-配送'!$B$61:$I$65,7,0),0)</f>
        <v>0</v>
      </c>
      <c r="K1881" s="38">
        <f>IF(AND(MOD(H1881,30)&lt;=8,MOD(H1881,30)&gt;0),1,0)*VLOOKUP(D1881,'报价表-配送'!$B$61:$I$65,6,0)</f>
        <v>0</v>
      </c>
      <c r="N1881" s="38">
        <f t="shared" si="28"/>
        <v>0</v>
      </c>
    </row>
    <row r="1882" spans="1:14" x14ac:dyDescent="0.25">
      <c r="A1882" s="56" t="s">
        <v>241</v>
      </c>
      <c r="B1882" s="43" t="s">
        <v>173</v>
      </c>
      <c r="C1882" s="62">
        <f>VLOOKUP(B1882,合并仓明细!$D$2:$F$74,3,0)</f>
        <v>163</v>
      </c>
      <c r="D1882" t="s">
        <v>413</v>
      </c>
      <c r="E1882" s="43" t="s">
        <v>322</v>
      </c>
      <c r="F1882" t="s">
        <v>66</v>
      </c>
      <c r="G1882" s="42">
        <v>1853.25</v>
      </c>
      <c r="H1882"/>
      <c r="N1882" s="38">
        <f t="shared" si="28"/>
        <v>0</v>
      </c>
    </row>
    <row r="1883" spans="1:14" x14ac:dyDescent="0.25">
      <c r="A1883" s="56" t="s">
        <v>241</v>
      </c>
      <c r="B1883" s="43" t="s">
        <v>173</v>
      </c>
      <c r="C1883" s="62">
        <f>VLOOKUP(B1883,合并仓明细!$D$2:$F$74,3,0)</f>
        <v>163</v>
      </c>
      <c r="D1883" t="s">
        <v>413</v>
      </c>
      <c r="E1883" s="43" t="s">
        <v>336</v>
      </c>
      <c r="F1883" t="s">
        <v>68</v>
      </c>
      <c r="G1883" s="42">
        <v>20528.459999999995</v>
      </c>
      <c r="H1883">
        <v>21.816799999999997</v>
      </c>
      <c r="I1883" s="46">
        <f>ROUNDUP(H1883/30,0)*VLOOKUP(D1883,'报价表-配送'!$B$61:$I$65,8,0)</f>
        <v>0</v>
      </c>
      <c r="N1883" s="38">
        <f t="shared" si="28"/>
        <v>0</v>
      </c>
    </row>
    <row r="1884" spans="1:14" x14ac:dyDescent="0.25">
      <c r="A1884" s="56" t="s">
        <v>241</v>
      </c>
      <c r="B1884" s="43" t="s">
        <v>173</v>
      </c>
      <c r="C1884" s="62">
        <f>VLOOKUP(B1884,合并仓明细!$D$2:$F$74,3,0)</f>
        <v>163</v>
      </c>
      <c r="D1884" t="s">
        <v>413</v>
      </c>
      <c r="E1884" s="43" t="s">
        <v>336</v>
      </c>
      <c r="F1884" t="s">
        <v>67</v>
      </c>
      <c r="G1884" s="42">
        <v>701.45</v>
      </c>
      <c r="H1884"/>
      <c r="N1884" s="38">
        <f t="shared" si="28"/>
        <v>0</v>
      </c>
    </row>
    <row r="1885" spans="1:14" x14ac:dyDescent="0.25">
      <c r="A1885" s="56" t="s">
        <v>241</v>
      </c>
      <c r="B1885" s="43" t="s">
        <v>173</v>
      </c>
      <c r="C1885" s="62">
        <f>VLOOKUP(B1885,合并仓明细!$D$2:$F$74,3,0)</f>
        <v>163</v>
      </c>
      <c r="D1885" t="s">
        <v>413</v>
      </c>
      <c r="E1885" s="43" t="s">
        <v>336</v>
      </c>
      <c r="F1885" t="s">
        <v>66</v>
      </c>
      <c r="G1885" s="42">
        <v>586.89</v>
      </c>
      <c r="H1885"/>
      <c r="N1885" s="38">
        <f t="shared" si="28"/>
        <v>0</v>
      </c>
    </row>
    <row r="1886" spans="1:14" x14ac:dyDescent="0.25">
      <c r="A1886" s="56" t="s">
        <v>241</v>
      </c>
      <c r="B1886" s="43" t="s">
        <v>173</v>
      </c>
      <c r="C1886" s="62">
        <f>VLOOKUP(B1886,合并仓明细!$D$2:$F$74,3,0)</f>
        <v>163</v>
      </c>
      <c r="D1886" t="s">
        <v>413</v>
      </c>
      <c r="E1886" s="43" t="s">
        <v>351</v>
      </c>
      <c r="F1886" t="s">
        <v>68</v>
      </c>
      <c r="G1886" s="42">
        <v>4614.7099999999991</v>
      </c>
      <c r="H1886">
        <v>11.458299999999999</v>
      </c>
      <c r="I1886" s="46">
        <f>ROUNDUP(H1886/30,0)*VLOOKUP(D1886,'报价表-配送'!$B$61:$I$65,8,0)</f>
        <v>0</v>
      </c>
      <c r="N1886" s="38">
        <f t="shared" si="28"/>
        <v>0</v>
      </c>
    </row>
    <row r="1887" spans="1:14" x14ac:dyDescent="0.25">
      <c r="A1887" s="56" t="s">
        <v>241</v>
      </c>
      <c r="B1887" s="43" t="s">
        <v>173</v>
      </c>
      <c r="C1887" s="62">
        <f>VLOOKUP(B1887,合并仓明细!$D$2:$F$74,3,0)</f>
        <v>163</v>
      </c>
      <c r="D1887" t="s">
        <v>413</v>
      </c>
      <c r="E1887" s="43" t="s">
        <v>351</v>
      </c>
      <c r="F1887" t="s">
        <v>67</v>
      </c>
      <c r="G1887" s="42">
        <v>3236.38</v>
      </c>
      <c r="H1887"/>
      <c r="N1887" s="38">
        <f t="shared" si="28"/>
        <v>0</v>
      </c>
    </row>
    <row r="1888" spans="1:14" x14ac:dyDescent="0.25">
      <c r="A1888" s="56" t="s">
        <v>241</v>
      </c>
      <c r="B1888" s="43" t="s">
        <v>173</v>
      </c>
      <c r="C1888" s="62">
        <f>VLOOKUP(B1888,合并仓明细!$D$2:$F$74,3,0)</f>
        <v>163</v>
      </c>
      <c r="D1888" t="s">
        <v>413</v>
      </c>
      <c r="E1888" s="43" t="s">
        <v>351</v>
      </c>
      <c r="F1888" t="s">
        <v>66</v>
      </c>
      <c r="G1888" s="42">
        <v>3607.2099999999996</v>
      </c>
      <c r="H1888"/>
      <c r="N1888" s="38">
        <f t="shared" si="28"/>
        <v>0</v>
      </c>
    </row>
    <row r="1889" spans="1:14" x14ac:dyDescent="0.25">
      <c r="A1889" s="56" t="s">
        <v>241</v>
      </c>
      <c r="B1889" s="43" t="s">
        <v>173</v>
      </c>
      <c r="C1889" s="62">
        <f>VLOOKUP(B1889,合并仓明细!$D$2:$F$74,3,0)</f>
        <v>163</v>
      </c>
      <c r="D1889" t="s">
        <v>413</v>
      </c>
      <c r="E1889" s="43" t="s">
        <v>276</v>
      </c>
      <c r="F1889" t="s">
        <v>68</v>
      </c>
      <c r="G1889" s="42">
        <v>43.149999999999991</v>
      </c>
      <c r="H1889">
        <v>4.6439800000000009</v>
      </c>
      <c r="I1889" s="46">
        <f>ROUNDUP(H1889/30,0)*VLOOKUP(D1889,'报价表-配送'!$B$61:$I$65,8,0)</f>
        <v>0</v>
      </c>
      <c r="N1889" s="38">
        <f t="shared" si="28"/>
        <v>0</v>
      </c>
    </row>
    <row r="1890" spans="1:14" x14ac:dyDescent="0.25">
      <c r="A1890" s="56" t="s">
        <v>241</v>
      </c>
      <c r="B1890" s="43" t="s">
        <v>173</v>
      </c>
      <c r="C1890" s="62">
        <f>VLOOKUP(B1890,合并仓明细!$D$2:$F$74,3,0)</f>
        <v>163</v>
      </c>
      <c r="D1890" t="s">
        <v>413</v>
      </c>
      <c r="E1890" s="43" t="s">
        <v>276</v>
      </c>
      <c r="F1890" t="s">
        <v>67</v>
      </c>
      <c r="G1890" s="42">
        <v>3991.5900000000006</v>
      </c>
      <c r="H1890"/>
      <c r="N1890" s="38">
        <f t="shared" si="28"/>
        <v>0</v>
      </c>
    </row>
    <row r="1891" spans="1:14" x14ac:dyDescent="0.25">
      <c r="A1891" s="56" t="s">
        <v>241</v>
      </c>
      <c r="B1891" s="43" t="s">
        <v>173</v>
      </c>
      <c r="C1891" s="62">
        <f>VLOOKUP(B1891,合并仓明细!$D$2:$F$74,3,0)</f>
        <v>163</v>
      </c>
      <c r="D1891" t="s">
        <v>413</v>
      </c>
      <c r="E1891" s="43" t="s">
        <v>276</v>
      </c>
      <c r="F1891" t="s">
        <v>66</v>
      </c>
      <c r="G1891" s="42">
        <v>609.24</v>
      </c>
      <c r="H1891"/>
      <c r="N1891" s="38">
        <f t="shared" si="28"/>
        <v>0</v>
      </c>
    </row>
    <row r="1892" spans="1:14" x14ac:dyDescent="0.25">
      <c r="A1892" s="56" t="s">
        <v>241</v>
      </c>
      <c r="B1892" s="43" t="s">
        <v>173</v>
      </c>
      <c r="C1892" s="62">
        <f>VLOOKUP(B1892,合并仓明细!$D$2:$F$74,3,0)</f>
        <v>163</v>
      </c>
      <c r="D1892" t="s">
        <v>413</v>
      </c>
      <c r="E1892" s="43" t="s">
        <v>310</v>
      </c>
      <c r="F1892" t="s">
        <v>68</v>
      </c>
      <c r="G1892" s="42">
        <v>1674.93</v>
      </c>
      <c r="H1892">
        <v>2.8698599999999996</v>
      </c>
      <c r="I1892" s="46">
        <f>ROUNDUP(H1892/30,0)*VLOOKUP(D1892,'报价表-配送'!$B$61:$I$65,8,0)</f>
        <v>0</v>
      </c>
      <c r="N1892" s="38">
        <f t="shared" si="28"/>
        <v>0</v>
      </c>
    </row>
    <row r="1893" spans="1:14" x14ac:dyDescent="0.25">
      <c r="A1893" s="56" t="s">
        <v>241</v>
      </c>
      <c r="B1893" s="43" t="s">
        <v>173</v>
      </c>
      <c r="C1893" s="62">
        <f>VLOOKUP(B1893,合并仓明细!$D$2:$F$74,3,0)</f>
        <v>163</v>
      </c>
      <c r="D1893" t="s">
        <v>413</v>
      </c>
      <c r="E1893" s="43" t="s">
        <v>310</v>
      </c>
      <c r="F1893" t="s">
        <v>66</v>
      </c>
      <c r="G1893" s="42">
        <v>1194.9299999999998</v>
      </c>
      <c r="H1893"/>
      <c r="N1893" s="38">
        <f t="shared" si="28"/>
        <v>0</v>
      </c>
    </row>
    <row r="1894" spans="1:14" x14ac:dyDescent="0.25">
      <c r="A1894" s="56" t="s">
        <v>241</v>
      </c>
      <c r="B1894" s="43" t="s">
        <v>173</v>
      </c>
      <c r="C1894" s="62">
        <f>VLOOKUP(B1894,合并仓明细!$D$2:$F$74,3,0)</f>
        <v>163</v>
      </c>
      <c r="D1894" t="s">
        <v>413</v>
      </c>
      <c r="E1894" s="43" t="s">
        <v>337</v>
      </c>
      <c r="F1894" t="s">
        <v>66</v>
      </c>
      <c r="G1894" s="42">
        <v>11.810000000000002</v>
      </c>
      <c r="H1894">
        <v>1.1810000000000003E-2</v>
      </c>
      <c r="L1894" s="37">
        <f>IF(H1894&gt;30,QUOTIENT(H1894,30)*VLOOKUP(D1894,'报价表-配送'!$B$61:$I$65,8,0),0)+IF(AND(MOD(H1894,30)&gt;18,MOD(H1894,30)&lt;=30),1,0)*VLOOKUP(D1894,'报价表-配送'!$B$61:$I$65,8,0)+IF(AND(MOD(H1894,30)&gt;8,MOD(H1894,30)&lt;=18),1*VLOOKUP(D1894,'报价表-配送'!$B$61:$I$65,7,0),0)+IF(AND(MOD(H1894,30)&lt;=8,MOD(H1894,30)&gt;2.5),1,0)*VLOOKUP(D1894,'报价表-配送'!$B$61:$I$65,6,0)+IF(AND(MOD(H1894,30)&lt;=2.5,MOD(H1894,30)&gt;=1.5),1,0)*VLOOKUP(D1894,'报价表-配送'!$B$61:$I$65,5,0)</f>
        <v>0</v>
      </c>
      <c r="M1894" s="39">
        <f>IF(AND(MOD(H1894,30)&lt;1.5,MOD(H1894,30)&gt;=0.5),H1894,0)*VLOOKUP(D1894,'报价表-配送'!$B$61:$I$65,4,0)*1000+IF(AND(MOD(H1894,30)&lt;0.5,MOD(H1894,30)&gt;=0.02),H1894,0)*VLOOKUP(D1894,'报价表-配送'!$B$61:$I$65,3,0)*1000+IF(AND(MOD(H1894,30)&lt;0.02),H1894,0)*VLOOKUP(D1894,'报价表-配送'!$B$61:$I$65,2,0)*1000</f>
        <v>0</v>
      </c>
      <c r="N1894" s="38">
        <f t="shared" ref="N1894:N1957" si="29">SUM(I1894:M1894)</f>
        <v>0</v>
      </c>
    </row>
    <row r="1895" spans="1:14" x14ac:dyDescent="0.25">
      <c r="A1895" s="56" t="s">
        <v>241</v>
      </c>
      <c r="B1895" s="43" t="s">
        <v>173</v>
      </c>
      <c r="C1895" s="62">
        <f>VLOOKUP(B1895,合并仓明细!$D$2:$F$74,3,0)</f>
        <v>163</v>
      </c>
      <c r="D1895" t="s">
        <v>413</v>
      </c>
      <c r="E1895" s="43" t="s">
        <v>277</v>
      </c>
      <c r="F1895" t="s">
        <v>66</v>
      </c>
      <c r="G1895" s="42">
        <v>30.45</v>
      </c>
      <c r="H1895">
        <v>3.0449999999999998E-2</v>
      </c>
      <c r="L1895" s="37">
        <f>IF(H1895&gt;30,QUOTIENT(H1895,30)*VLOOKUP(D1895,'报价表-配送'!$B$61:$I$65,8,0),0)+IF(AND(MOD(H1895,30)&gt;18,MOD(H1895,30)&lt;=30),1,0)*VLOOKUP(D1895,'报价表-配送'!$B$61:$I$65,8,0)+IF(AND(MOD(H1895,30)&gt;8,MOD(H1895,30)&lt;=18),1*VLOOKUP(D1895,'报价表-配送'!$B$61:$I$65,7,0),0)+IF(AND(MOD(H1895,30)&lt;=8,MOD(H1895,30)&gt;2.5),1,0)*VLOOKUP(D1895,'报价表-配送'!$B$61:$I$65,6,0)+IF(AND(MOD(H1895,30)&lt;=2.5,MOD(H1895,30)&gt;=1.5),1,0)*VLOOKUP(D1895,'报价表-配送'!$B$61:$I$65,5,0)</f>
        <v>0</v>
      </c>
      <c r="M1895" s="39">
        <f>IF(AND(MOD(H1895,30)&lt;1.5,MOD(H1895,30)&gt;=0.5),H1895,0)*VLOOKUP(D1895,'报价表-配送'!$B$61:$I$65,4,0)*1000+IF(AND(MOD(H1895,30)&lt;0.5,MOD(H1895,30)&gt;=0.02),H1895,0)*VLOOKUP(D1895,'报价表-配送'!$B$61:$I$65,3,0)*1000+IF(AND(MOD(H1895,30)&lt;0.02),H1895,0)*VLOOKUP(D1895,'报价表-配送'!$B$61:$I$65,2,0)*1000</f>
        <v>0</v>
      </c>
      <c r="N1895" s="38">
        <f t="shared" si="29"/>
        <v>0</v>
      </c>
    </row>
    <row r="1896" spans="1:14" x14ac:dyDescent="0.25">
      <c r="A1896" s="56" t="s">
        <v>241</v>
      </c>
      <c r="B1896" s="43" t="s">
        <v>173</v>
      </c>
      <c r="C1896" s="62">
        <f>VLOOKUP(B1896,合并仓明细!$D$2:$F$74,3,0)</f>
        <v>163</v>
      </c>
      <c r="D1896" t="s">
        <v>413</v>
      </c>
      <c r="E1896" s="43" t="s">
        <v>361</v>
      </c>
      <c r="F1896" t="s">
        <v>66</v>
      </c>
      <c r="G1896" s="42">
        <v>45.379999999999995</v>
      </c>
      <c r="H1896">
        <v>4.5379999999999997E-2</v>
      </c>
      <c r="L1896" s="37">
        <f>IF(H1896&gt;30,QUOTIENT(H1896,30)*VLOOKUP(D1896,'报价表-配送'!$B$61:$I$65,8,0),0)+IF(AND(MOD(H1896,30)&gt;18,MOD(H1896,30)&lt;=30),1,0)*VLOOKUP(D1896,'报价表-配送'!$B$61:$I$65,8,0)+IF(AND(MOD(H1896,30)&gt;8,MOD(H1896,30)&lt;=18),1*VLOOKUP(D1896,'报价表-配送'!$B$61:$I$65,7,0),0)+IF(AND(MOD(H1896,30)&lt;=8,MOD(H1896,30)&gt;2.5),1,0)*VLOOKUP(D1896,'报价表-配送'!$B$61:$I$65,6,0)+IF(AND(MOD(H1896,30)&lt;=2.5,MOD(H1896,30)&gt;=1.5),1,0)*VLOOKUP(D1896,'报价表-配送'!$B$61:$I$65,5,0)</f>
        <v>0</v>
      </c>
      <c r="M1896" s="39">
        <f>IF(AND(MOD(H1896,30)&lt;1.5,MOD(H1896,30)&gt;=0.5),H1896,0)*VLOOKUP(D1896,'报价表-配送'!$B$61:$I$65,4,0)*1000+IF(AND(MOD(H1896,30)&lt;0.5,MOD(H1896,30)&gt;=0.02),H1896,0)*VLOOKUP(D1896,'报价表-配送'!$B$61:$I$65,3,0)*1000+IF(AND(MOD(H1896,30)&lt;0.02),H1896,0)*VLOOKUP(D1896,'报价表-配送'!$B$61:$I$65,2,0)*1000</f>
        <v>0</v>
      </c>
      <c r="N1896" s="38">
        <f t="shared" si="29"/>
        <v>0</v>
      </c>
    </row>
    <row r="1897" spans="1:14" x14ac:dyDescent="0.25">
      <c r="A1897" s="56" t="s">
        <v>241</v>
      </c>
      <c r="B1897" s="43" t="s">
        <v>173</v>
      </c>
      <c r="C1897" s="62">
        <f>VLOOKUP(B1897,合并仓明细!$D$2:$F$74,3,0)</f>
        <v>163</v>
      </c>
      <c r="D1897" t="s">
        <v>413</v>
      </c>
      <c r="E1897" s="43" t="s">
        <v>278</v>
      </c>
      <c r="F1897" t="s">
        <v>67</v>
      </c>
      <c r="G1897" s="42">
        <v>310.85000000000002</v>
      </c>
      <c r="H1897">
        <v>0.95045000000000002</v>
      </c>
      <c r="I1897" s="38">
        <f>IF(H1897&gt;30,QUOTIENT(H1897,30)*VLOOKUP(D1897,'报价表-配送'!$B$61:$I$65,8,0),0)+IF(AND(MOD(H1897,30)&gt;18,MOD(H1897,30)&lt;=30),1,0)*VLOOKUP(D1897,'报价表-配送'!$B$61:$I$65,8,0)</f>
        <v>0</v>
      </c>
      <c r="J1897" s="38">
        <f>IF(AND(MOD(H1897,30)&gt;8,MOD(H1897,30)&lt;=18),1*VLOOKUP(D1897,'报价表-配送'!$B$61:$I$65,7,0),0)</f>
        <v>0</v>
      </c>
      <c r="K1897" s="38">
        <f>IF(AND(MOD(H1897,30)&lt;=8,MOD(H1897,30)&gt;0),1,0)*VLOOKUP(D1897,'报价表-配送'!$B$61:$I$65,6,0)</f>
        <v>0</v>
      </c>
      <c r="N1897" s="38">
        <f t="shared" si="29"/>
        <v>0</v>
      </c>
    </row>
    <row r="1898" spans="1:14" x14ac:dyDescent="0.25">
      <c r="A1898" s="56" t="s">
        <v>241</v>
      </c>
      <c r="B1898" s="43" t="s">
        <v>173</v>
      </c>
      <c r="C1898" s="62">
        <f>VLOOKUP(B1898,合并仓明细!$D$2:$F$74,3,0)</f>
        <v>163</v>
      </c>
      <c r="D1898" t="s">
        <v>413</v>
      </c>
      <c r="E1898" s="43" t="s">
        <v>278</v>
      </c>
      <c r="F1898" t="s">
        <v>66</v>
      </c>
      <c r="G1898" s="42">
        <v>639.6</v>
      </c>
      <c r="H1898"/>
      <c r="N1898" s="38">
        <f t="shared" si="29"/>
        <v>0</v>
      </c>
    </row>
    <row r="1899" spans="1:14" x14ac:dyDescent="0.25">
      <c r="A1899" s="56" t="s">
        <v>241</v>
      </c>
      <c r="B1899" s="43" t="s">
        <v>173</v>
      </c>
      <c r="C1899" s="62">
        <f>VLOOKUP(B1899,合并仓明细!$D$2:$F$74,3,0)</f>
        <v>163</v>
      </c>
      <c r="D1899" t="s">
        <v>413</v>
      </c>
      <c r="E1899" s="43" t="s">
        <v>279</v>
      </c>
      <c r="F1899" t="s">
        <v>67</v>
      </c>
      <c r="G1899" s="42">
        <v>941.17</v>
      </c>
      <c r="H1899">
        <v>1.2771799999999998</v>
      </c>
      <c r="I1899" s="38">
        <f>IF(H1899&gt;30,QUOTIENT(H1899,30)*VLOOKUP(D1899,'报价表-配送'!$B$61:$I$65,8,0),0)+IF(AND(MOD(H1899,30)&gt;18,MOD(H1899,30)&lt;=30),1,0)*VLOOKUP(D1899,'报价表-配送'!$B$61:$I$65,8,0)</f>
        <v>0</v>
      </c>
      <c r="J1899" s="38">
        <f>IF(AND(MOD(H1899,30)&gt;8,MOD(H1899,30)&lt;=18),1*VLOOKUP(D1899,'报价表-配送'!$B$61:$I$65,7,0),0)</f>
        <v>0</v>
      </c>
      <c r="K1899" s="38">
        <f>IF(AND(MOD(H1899,30)&lt;=8,MOD(H1899,30)&gt;0),1,0)*VLOOKUP(D1899,'报价表-配送'!$B$61:$I$65,6,0)</f>
        <v>0</v>
      </c>
      <c r="N1899" s="38">
        <f t="shared" si="29"/>
        <v>0</v>
      </c>
    </row>
    <row r="1900" spans="1:14" x14ac:dyDescent="0.25">
      <c r="A1900" s="56" t="s">
        <v>241</v>
      </c>
      <c r="B1900" s="43" t="s">
        <v>173</v>
      </c>
      <c r="C1900" s="62">
        <f>VLOOKUP(B1900,合并仓明细!$D$2:$F$74,3,0)</f>
        <v>163</v>
      </c>
      <c r="D1900" t="s">
        <v>413</v>
      </c>
      <c r="E1900" s="43" t="s">
        <v>279</v>
      </c>
      <c r="F1900" t="s">
        <v>66</v>
      </c>
      <c r="G1900" s="42">
        <v>336.01</v>
      </c>
      <c r="H1900"/>
      <c r="N1900" s="38">
        <f t="shared" si="29"/>
        <v>0</v>
      </c>
    </row>
    <row r="1901" spans="1:14" x14ac:dyDescent="0.25">
      <c r="A1901" s="56" t="s">
        <v>241</v>
      </c>
      <c r="B1901" s="43" t="s">
        <v>173</v>
      </c>
      <c r="C1901" s="62">
        <f>VLOOKUP(B1901,合并仓明细!$D$2:$F$74,3,0)</f>
        <v>163</v>
      </c>
      <c r="D1901" t="s">
        <v>413</v>
      </c>
      <c r="E1901" s="43" t="s">
        <v>347</v>
      </c>
      <c r="F1901" t="s">
        <v>66</v>
      </c>
      <c r="G1901" s="42">
        <v>205.7</v>
      </c>
      <c r="H1901">
        <v>0.20569999999999999</v>
      </c>
      <c r="L1901" s="37">
        <f>IF(H1901&gt;30,QUOTIENT(H1901,30)*VLOOKUP(D1901,'报价表-配送'!$B$61:$I$65,8,0),0)+IF(AND(MOD(H1901,30)&gt;18,MOD(H1901,30)&lt;=30),1,0)*VLOOKUP(D1901,'报价表-配送'!$B$61:$I$65,8,0)+IF(AND(MOD(H1901,30)&gt;8,MOD(H1901,30)&lt;=18),1*VLOOKUP(D1901,'报价表-配送'!$B$61:$I$65,7,0),0)+IF(AND(MOD(H1901,30)&lt;=8,MOD(H1901,30)&gt;2.5),1,0)*VLOOKUP(D1901,'报价表-配送'!$B$61:$I$65,6,0)+IF(AND(MOD(H1901,30)&lt;=2.5,MOD(H1901,30)&gt;=1.5),1,0)*VLOOKUP(D1901,'报价表-配送'!$B$61:$I$65,5,0)</f>
        <v>0</v>
      </c>
      <c r="M1901" s="39">
        <f>IF(AND(MOD(H1901,30)&lt;1.5,MOD(H1901,30)&gt;=0.5),H1901,0)*VLOOKUP(D1901,'报价表-配送'!$B$61:$I$65,4,0)*1000+IF(AND(MOD(H1901,30)&lt;0.5,MOD(H1901,30)&gt;=0.02),H1901,0)*VLOOKUP(D1901,'报价表-配送'!$B$61:$I$65,3,0)*1000+IF(AND(MOD(H1901,30)&lt;0.02),H1901,0)*VLOOKUP(D1901,'报价表-配送'!$B$61:$I$65,2,0)*1000</f>
        <v>0</v>
      </c>
      <c r="N1901" s="38">
        <f t="shared" si="29"/>
        <v>0</v>
      </c>
    </row>
    <row r="1902" spans="1:14" x14ac:dyDescent="0.25">
      <c r="A1902" s="56" t="s">
        <v>241</v>
      </c>
      <c r="B1902" s="43" t="s">
        <v>173</v>
      </c>
      <c r="C1902" s="62">
        <f>VLOOKUP(B1902,合并仓明细!$D$2:$F$74,3,0)</f>
        <v>163</v>
      </c>
      <c r="D1902" t="s">
        <v>413</v>
      </c>
      <c r="E1902" s="43" t="s">
        <v>352</v>
      </c>
      <c r="F1902" t="s">
        <v>66</v>
      </c>
      <c r="G1902" s="42">
        <v>70.16</v>
      </c>
      <c r="H1902">
        <v>7.016E-2</v>
      </c>
      <c r="L1902" s="37">
        <f>IF(H1902&gt;30,QUOTIENT(H1902,30)*VLOOKUP(D1902,'报价表-配送'!$B$61:$I$65,8,0),0)+IF(AND(MOD(H1902,30)&gt;18,MOD(H1902,30)&lt;=30),1,0)*VLOOKUP(D1902,'报价表-配送'!$B$61:$I$65,8,0)+IF(AND(MOD(H1902,30)&gt;8,MOD(H1902,30)&lt;=18),1*VLOOKUP(D1902,'报价表-配送'!$B$61:$I$65,7,0),0)+IF(AND(MOD(H1902,30)&lt;=8,MOD(H1902,30)&gt;2.5),1,0)*VLOOKUP(D1902,'报价表-配送'!$B$61:$I$65,6,0)+IF(AND(MOD(H1902,30)&lt;=2.5,MOD(H1902,30)&gt;=1.5),1,0)*VLOOKUP(D1902,'报价表-配送'!$B$61:$I$65,5,0)</f>
        <v>0</v>
      </c>
      <c r="M1902" s="39">
        <f>IF(AND(MOD(H1902,30)&lt;1.5,MOD(H1902,30)&gt;=0.5),H1902,0)*VLOOKUP(D1902,'报价表-配送'!$B$61:$I$65,4,0)*1000+IF(AND(MOD(H1902,30)&lt;0.5,MOD(H1902,30)&gt;=0.02),H1902,0)*VLOOKUP(D1902,'报价表-配送'!$B$61:$I$65,3,0)*1000+IF(AND(MOD(H1902,30)&lt;0.02),H1902,0)*VLOOKUP(D1902,'报价表-配送'!$B$61:$I$65,2,0)*1000</f>
        <v>0</v>
      </c>
      <c r="N1902" s="38">
        <f t="shared" si="29"/>
        <v>0</v>
      </c>
    </row>
    <row r="1903" spans="1:14" x14ac:dyDescent="0.25">
      <c r="A1903" s="56" t="s">
        <v>241</v>
      </c>
      <c r="B1903" s="43" t="s">
        <v>173</v>
      </c>
      <c r="C1903" s="62">
        <f>VLOOKUP(B1903,合并仓明细!$D$2:$F$74,3,0)</f>
        <v>163</v>
      </c>
      <c r="D1903" t="s">
        <v>413</v>
      </c>
      <c r="E1903" s="43" t="s">
        <v>280</v>
      </c>
      <c r="F1903" t="s">
        <v>68</v>
      </c>
      <c r="G1903" s="42">
        <v>668.08999999999992</v>
      </c>
      <c r="H1903">
        <v>2.2862499999999999</v>
      </c>
      <c r="I1903" s="46">
        <f>ROUNDUP(H1903/30,0)*VLOOKUP(D1903,'报价表-配送'!$B$61:$I$65,8,0)</f>
        <v>0</v>
      </c>
      <c r="N1903" s="38">
        <f t="shared" si="29"/>
        <v>0</v>
      </c>
    </row>
    <row r="1904" spans="1:14" x14ac:dyDescent="0.25">
      <c r="A1904" s="56" t="s">
        <v>241</v>
      </c>
      <c r="B1904" s="43" t="s">
        <v>173</v>
      </c>
      <c r="C1904" s="62">
        <f>VLOOKUP(B1904,合并仓明细!$D$2:$F$74,3,0)</f>
        <v>163</v>
      </c>
      <c r="D1904" t="s">
        <v>413</v>
      </c>
      <c r="E1904" s="43" t="s">
        <v>280</v>
      </c>
      <c r="F1904" t="s">
        <v>67</v>
      </c>
      <c r="G1904" s="42">
        <v>98.55</v>
      </c>
      <c r="H1904"/>
      <c r="N1904" s="38">
        <f t="shared" si="29"/>
        <v>0</v>
      </c>
    </row>
    <row r="1905" spans="1:14" x14ac:dyDescent="0.25">
      <c r="A1905" s="56" t="s">
        <v>241</v>
      </c>
      <c r="B1905" s="43" t="s">
        <v>173</v>
      </c>
      <c r="C1905" s="62">
        <f>VLOOKUP(B1905,合并仓明细!$D$2:$F$74,3,0)</f>
        <v>163</v>
      </c>
      <c r="D1905" t="s">
        <v>413</v>
      </c>
      <c r="E1905" s="43" t="s">
        <v>280</v>
      </c>
      <c r="F1905" t="s">
        <v>66</v>
      </c>
      <c r="G1905" s="42">
        <v>1519.6100000000001</v>
      </c>
      <c r="H1905"/>
      <c r="N1905" s="38">
        <f t="shared" si="29"/>
        <v>0</v>
      </c>
    </row>
    <row r="1906" spans="1:14" x14ac:dyDescent="0.25">
      <c r="A1906" s="56" t="s">
        <v>241</v>
      </c>
      <c r="B1906" s="43" t="s">
        <v>173</v>
      </c>
      <c r="C1906" s="62">
        <f>VLOOKUP(B1906,合并仓明细!$D$2:$F$74,3,0)</f>
        <v>163</v>
      </c>
      <c r="D1906" t="s">
        <v>413</v>
      </c>
      <c r="E1906" s="43" t="s">
        <v>312</v>
      </c>
      <c r="F1906" t="s">
        <v>68</v>
      </c>
      <c r="G1906" s="42">
        <v>1424.5599999999997</v>
      </c>
      <c r="H1906">
        <v>1.9275299999999997</v>
      </c>
      <c r="I1906" s="46">
        <f>ROUNDUP(H1906/30,0)*VLOOKUP(D1906,'报价表-配送'!$B$61:$I$65,8,0)</f>
        <v>0</v>
      </c>
      <c r="N1906" s="38">
        <f t="shared" si="29"/>
        <v>0</v>
      </c>
    </row>
    <row r="1907" spans="1:14" x14ac:dyDescent="0.25">
      <c r="A1907" s="56" t="s">
        <v>241</v>
      </c>
      <c r="B1907" s="43" t="s">
        <v>173</v>
      </c>
      <c r="C1907" s="62">
        <f>VLOOKUP(B1907,合并仓明细!$D$2:$F$74,3,0)</f>
        <v>163</v>
      </c>
      <c r="D1907" t="s">
        <v>413</v>
      </c>
      <c r="E1907" s="43" t="s">
        <v>312</v>
      </c>
      <c r="F1907" t="s">
        <v>67</v>
      </c>
      <c r="G1907" s="42">
        <v>271.78000000000003</v>
      </c>
      <c r="H1907"/>
      <c r="N1907" s="38">
        <f t="shared" si="29"/>
        <v>0</v>
      </c>
    </row>
    <row r="1908" spans="1:14" x14ac:dyDescent="0.25">
      <c r="A1908" s="56" t="s">
        <v>241</v>
      </c>
      <c r="B1908" s="43" t="s">
        <v>173</v>
      </c>
      <c r="C1908" s="62">
        <f>VLOOKUP(B1908,合并仓明细!$D$2:$F$74,3,0)</f>
        <v>163</v>
      </c>
      <c r="D1908" t="s">
        <v>413</v>
      </c>
      <c r="E1908" s="43" t="s">
        <v>312</v>
      </c>
      <c r="F1908" t="s">
        <v>66</v>
      </c>
      <c r="G1908" s="42">
        <v>231.19</v>
      </c>
      <c r="H1908"/>
      <c r="N1908" s="38">
        <f t="shared" si="29"/>
        <v>0</v>
      </c>
    </row>
    <row r="1909" spans="1:14" x14ac:dyDescent="0.25">
      <c r="A1909" s="56" t="s">
        <v>241</v>
      </c>
      <c r="B1909" s="43" t="s">
        <v>173</v>
      </c>
      <c r="C1909" s="62">
        <f>VLOOKUP(B1909,合并仓明细!$D$2:$F$74,3,0)</f>
        <v>163</v>
      </c>
      <c r="D1909" t="s">
        <v>413</v>
      </c>
      <c r="E1909" s="43" t="s">
        <v>281</v>
      </c>
      <c r="F1909" t="s">
        <v>66</v>
      </c>
      <c r="G1909" s="42">
        <v>1719.81</v>
      </c>
      <c r="H1909">
        <v>1.7198099999999998</v>
      </c>
      <c r="L1909" s="37">
        <f>IF(H1909&gt;30,QUOTIENT(H1909,30)*VLOOKUP(D1909,'报价表-配送'!$B$61:$I$65,8,0),0)+IF(AND(MOD(H1909,30)&gt;18,MOD(H1909,30)&lt;=30),1,0)*VLOOKUP(D1909,'报价表-配送'!$B$61:$I$65,8,0)+IF(AND(MOD(H1909,30)&gt;8,MOD(H1909,30)&lt;=18),1*VLOOKUP(D1909,'报价表-配送'!$B$61:$I$65,7,0),0)+IF(AND(MOD(H1909,30)&lt;=8,MOD(H1909,30)&gt;2.5),1,0)*VLOOKUP(D1909,'报价表-配送'!$B$61:$I$65,6,0)+IF(AND(MOD(H1909,30)&lt;=2.5,MOD(H1909,30)&gt;=1.5),1,0)*VLOOKUP(D1909,'报价表-配送'!$B$61:$I$65,5,0)</f>
        <v>0</v>
      </c>
      <c r="M1909" s="39">
        <f>IF(AND(MOD(H1909,30)&lt;1.5,MOD(H1909,30)&gt;=0.5),H1909,0)*VLOOKUP(D1909,'报价表-配送'!$B$61:$I$65,4,0)*1000+IF(AND(MOD(H1909,30)&lt;0.5,MOD(H1909,30)&gt;=0.02),H1909,0)*VLOOKUP(D1909,'报价表-配送'!$B$61:$I$65,3,0)*1000+IF(AND(MOD(H1909,30)&lt;0.02),H1909,0)*VLOOKUP(D1909,'报价表-配送'!$B$61:$I$65,2,0)*1000</f>
        <v>0</v>
      </c>
      <c r="N1909" s="38">
        <f t="shared" si="29"/>
        <v>0</v>
      </c>
    </row>
    <row r="1910" spans="1:14" x14ac:dyDescent="0.25">
      <c r="A1910" s="56" t="s">
        <v>241</v>
      </c>
      <c r="B1910" s="43" t="s">
        <v>173</v>
      </c>
      <c r="C1910" s="62">
        <f>VLOOKUP(B1910,合并仓明细!$D$2:$F$74,3,0)</f>
        <v>163</v>
      </c>
      <c r="D1910" t="s">
        <v>413</v>
      </c>
      <c r="E1910" s="43" t="s">
        <v>338</v>
      </c>
      <c r="F1910" t="s">
        <v>68</v>
      </c>
      <c r="G1910" s="42">
        <v>845.49</v>
      </c>
      <c r="H1910">
        <v>2.2683800000000001</v>
      </c>
      <c r="I1910" s="46">
        <f>ROUNDUP(H1910/30,0)*VLOOKUP(D1910,'报价表-配送'!$B$61:$I$65,8,0)</f>
        <v>0</v>
      </c>
      <c r="N1910" s="38">
        <f t="shared" si="29"/>
        <v>0</v>
      </c>
    </row>
    <row r="1911" spans="1:14" x14ac:dyDescent="0.25">
      <c r="A1911" s="56" t="s">
        <v>241</v>
      </c>
      <c r="B1911" s="43" t="s">
        <v>173</v>
      </c>
      <c r="C1911" s="62">
        <f>VLOOKUP(B1911,合并仓明细!$D$2:$F$74,3,0)</f>
        <v>163</v>
      </c>
      <c r="D1911" t="s">
        <v>413</v>
      </c>
      <c r="E1911" s="43" t="s">
        <v>338</v>
      </c>
      <c r="F1911" t="s">
        <v>67</v>
      </c>
      <c r="G1911" s="42">
        <v>1083.58</v>
      </c>
      <c r="H1911"/>
      <c r="N1911" s="38">
        <f t="shared" si="29"/>
        <v>0</v>
      </c>
    </row>
    <row r="1912" spans="1:14" x14ac:dyDescent="0.25">
      <c r="A1912" s="56" t="s">
        <v>241</v>
      </c>
      <c r="B1912" s="43" t="s">
        <v>173</v>
      </c>
      <c r="C1912" s="62">
        <f>VLOOKUP(B1912,合并仓明细!$D$2:$F$74,3,0)</f>
        <v>163</v>
      </c>
      <c r="D1912" t="s">
        <v>413</v>
      </c>
      <c r="E1912" s="43" t="s">
        <v>338</v>
      </c>
      <c r="F1912" t="s">
        <v>66</v>
      </c>
      <c r="G1912" s="42">
        <v>339.31</v>
      </c>
      <c r="H1912"/>
      <c r="N1912" s="38">
        <f t="shared" si="29"/>
        <v>0</v>
      </c>
    </row>
    <row r="1913" spans="1:14" x14ac:dyDescent="0.25">
      <c r="A1913" s="56" t="s">
        <v>241</v>
      </c>
      <c r="B1913" s="43" t="s">
        <v>173</v>
      </c>
      <c r="C1913" s="62">
        <f>VLOOKUP(B1913,合并仓明细!$D$2:$F$74,3,0)</f>
        <v>163</v>
      </c>
      <c r="D1913" t="s">
        <v>413</v>
      </c>
      <c r="E1913" s="43" t="s">
        <v>282</v>
      </c>
      <c r="F1913" t="s">
        <v>67</v>
      </c>
      <c r="G1913" s="42">
        <v>51.19</v>
      </c>
      <c r="H1913">
        <v>5.1189999999999999E-2</v>
      </c>
      <c r="I1913" s="38">
        <f>IF(H1913&gt;30,QUOTIENT(H1913,30)*VLOOKUP(D1913,'报价表-配送'!$B$61:$I$65,8,0),0)+IF(AND(MOD(H1913,30)&gt;18,MOD(H1913,30)&lt;=30),1,0)*VLOOKUP(D1913,'报价表-配送'!$B$61:$I$65,8,0)</f>
        <v>0</v>
      </c>
      <c r="J1913" s="38">
        <f>IF(AND(MOD(H1913,30)&gt;8,MOD(H1913,30)&lt;=18),1*VLOOKUP(D1913,'报价表-配送'!$B$61:$I$65,7,0),0)</f>
        <v>0</v>
      </c>
      <c r="K1913" s="38">
        <f>IF(AND(MOD(H1913,30)&lt;=8,MOD(H1913,30)&gt;0),1,0)*VLOOKUP(D1913,'报价表-配送'!$B$61:$I$65,6,0)</f>
        <v>0</v>
      </c>
      <c r="N1913" s="38">
        <f t="shared" si="29"/>
        <v>0</v>
      </c>
    </row>
    <row r="1914" spans="1:14" x14ac:dyDescent="0.25">
      <c r="A1914" s="56" t="s">
        <v>241</v>
      </c>
      <c r="B1914" s="43" t="s">
        <v>173</v>
      </c>
      <c r="C1914" s="62">
        <f>VLOOKUP(B1914,合并仓明细!$D$2:$F$74,3,0)</f>
        <v>163</v>
      </c>
      <c r="D1914" t="s">
        <v>413</v>
      </c>
      <c r="E1914" s="43" t="s">
        <v>339</v>
      </c>
      <c r="F1914" t="s">
        <v>68</v>
      </c>
      <c r="G1914" s="42">
        <v>91.76</v>
      </c>
      <c r="H1914">
        <v>6.6545599999999991</v>
      </c>
      <c r="I1914" s="46">
        <f>ROUNDUP(H1914/30,0)*VLOOKUP(D1914,'报价表-配送'!$B$61:$I$65,8,0)</f>
        <v>0</v>
      </c>
      <c r="N1914" s="38">
        <f t="shared" si="29"/>
        <v>0</v>
      </c>
    </row>
    <row r="1915" spans="1:14" x14ac:dyDescent="0.25">
      <c r="A1915" s="56" t="s">
        <v>241</v>
      </c>
      <c r="B1915" s="43" t="s">
        <v>173</v>
      </c>
      <c r="C1915" s="62">
        <f>VLOOKUP(B1915,合并仓明细!$D$2:$F$74,3,0)</f>
        <v>163</v>
      </c>
      <c r="D1915" t="s">
        <v>413</v>
      </c>
      <c r="E1915" s="43" t="s">
        <v>339</v>
      </c>
      <c r="F1915" t="s">
        <v>67</v>
      </c>
      <c r="G1915" s="42">
        <v>5882.829999999999</v>
      </c>
      <c r="H1915"/>
      <c r="N1915" s="38">
        <f t="shared" si="29"/>
        <v>0</v>
      </c>
    </row>
    <row r="1916" spans="1:14" x14ac:dyDescent="0.25">
      <c r="A1916" s="56" t="s">
        <v>241</v>
      </c>
      <c r="B1916" s="43" t="s">
        <v>173</v>
      </c>
      <c r="C1916" s="62">
        <f>VLOOKUP(B1916,合并仓明细!$D$2:$F$74,3,0)</f>
        <v>163</v>
      </c>
      <c r="D1916" t="s">
        <v>413</v>
      </c>
      <c r="E1916" s="43" t="s">
        <v>339</v>
      </c>
      <c r="F1916" t="s">
        <v>66</v>
      </c>
      <c r="G1916" s="42">
        <v>679.97000000000014</v>
      </c>
      <c r="H1916"/>
      <c r="N1916" s="38">
        <f t="shared" si="29"/>
        <v>0</v>
      </c>
    </row>
    <row r="1917" spans="1:14" x14ac:dyDescent="0.25">
      <c r="A1917" s="56" t="s">
        <v>241</v>
      </c>
      <c r="B1917" s="43" t="s">
        <v>173</v>
      </c>
      <c r="C1917" s="62">
        <f>VLOOKUP(B1917,合并仓明细!$D$2:$F$74,3,0)</f>
        <v>163</v>
      </c>
      <c r="D1917" t="s">
        <v>413</v>
      </c>
      <c r="E1917" s="43" t="s">
        <v>283</v>
      </c>
      <c r="F1917" t="s">
        <v>67</v>
      </c>
      <c r="G1917" s="42">
        <v>1637.3300000000002</v>
      </c>
      <c r="H1917">
        <v>1.6870500000000002</v>
      </c>
      <c r="I1917" s="38">
        <f>IF(H1917&gt;30,QUOTIENT(H1917,30)*VLOOKUP(D1917,'报价表-配送'!$B$61:$I$65,8,0),0)+IF(AND(MOD(H1917,30)&gt;18,MOD(H1917,30)&lt;=30),1,0)*VLOOKUP(D1917,'报价表-配送'!$B$61:$I$65,8,0)</f>
        <v>0</v>
      </c>
      <c r="J1917" s="38">
        <f>IF(AND(MOD(H1917,30)&gt;8,MOD(H1917,30)&lt;=18),1*VLOOKUP(D1917,'报价表-配送'!$B$61:$I$65,7,0),0)</f>
        <v>0</v>
      </c>
      <c r="K1917" s="38">
        <f>IF(AND(MOD(H1917,30)&lt;=8,MOD(H1917,30)&gt;0),1,0)*VLOOKUP(D1917,'报价表-配送'!$B$61:$I$65,6,0)</f>
        <v>0</v>
      </c>
      <c r="N1917" s="38">
        <f t="shared" si="29"/>
        <v>0</v>
      </c>
    </row>
    <row r="1918" spans="1:14" x14ac:dyDescent="0.25">
      <c r="A1918" s="56" t="s">
        <v>241</v>
      </c>
      <c r="B1918" s="43" t="s">
        <v>173</v>
      </c>
      <c r="C1918" s="62">
        <f>VLOOKUP(B1918,合并仓明细!$D$2:$F$74,3,0)</f>
        <v>163</v>
      </c>
      <c r="D1918" t="s">
        <v>413</v>
      </c>
      <c r="E1918" s="43" t="s">
        <v>283</v>
      </c>
      <c r="F1918" t="s">
        <v>66</v>
      </c>
      <c r="G1918" s="42">
        <v>49.72</v>
      </c>
      <c r="H1918"/>
      <c r="N1918" s="38">
        <f t="shared" si="29"/>
        <v>0</v>
      </c>
    </row>
    <row r="1919" spans="1:14" x14ac:dyDescent="0.25">
      <c r="A1919" s="56" t="s">
        <v>241</v>
      </c>
      <c r="B1919" s="43" t="s">
        <v>173</v>
      </c>
      <c r="C1919" s="62">
        <f>VLOOKUP(B1919,合并仓明细!$D$2:$F$74,3,0)</f>
        <v>163</v>
      </c>
      <c r="D1919" t="s">
        <v>413</v>
      </c>
      <c r="E1919" s="43" t="s">
        <v>323</v>
      </c>
      <c r="F1919" t="s">
        <v>66</v>
      </c>
      <c r="G1919" s="42">
        <v>7.3000000000000007</v>
      </c>
      <c r="H1919">
        <v>7.3000000000000009E-3</v>
      </c>
      <c r="L1919" s="37">
        <f>IF(H1919&gt;30,QUOTIENT(H1919,30)*VLOOKUP(D1919,'报价表-配送'!$B$61:$I$65,8,0),0)+IF(AND(MOD(H1919,30)&gt;18,MOD(H1919,30)&lt;=30),1,0)*VLOOKUP(D1919,'报价表-配送'!$B$61:$I$65,8,0)+IF(AND(MOD(H1919,30)&gt;8,MOD(H1919,30)&lt;=18),1*VLOOKUP(D1919,'报价表-配送'!$B$61:$I$65,7,0),0)+IF(AND(MOD(H1919,30)&lt;=8,MOD(H1919,30)&gt;2.5),1,0)*VLOOKUP(D1919,'报价表-配送'!$B$61:$I$65,6,0)+IF(AND(MOD(H1919,30)&lt;=2.5,MOD(H1919,30)&gt;=1.5),1,0)*VLOOKUP(D1919,'报价表-配送'!$B$61:$I$65,5,0)</f>
        <v>0</v>
      </c>
      <c r="M1919" s="39">
        <f>IF(AND(MOD(H1919,30)&lt;1.5,MOD(H1919,30)&gt;=0.5),H1919,0)*VLOOKUP(D1919,'报价表-配送'!$B$61:$I$65,4,0)*1000+IF(AND(MOD(H1919,30)&lt;0.5,MOD(H1919,30)&gt;=0.02),H1919,0)*VLOOKUP(D1919,'报价表-配送'!$B$61:$I$65,3,0)*1000+IF(AND(MOD(H1919,30)&lt;0.02),H1919,0)*VLOOKUP(D1919,'报价表-配送'!$B$61:$I$65,2,0)*1000</f>
        <v>0</v>
      </c>
      <c r="N1919" s="38">
        <f t="shared" si="29"/>
        <v>0</v>
      </c>
    </row>
    <row r="1920" spans="1:14" x14ac:dyDescent="0.25">
      <c r="A1920" s="56" t="s">
        <v>241</v>
      </c>
      <c r="B1920" s="43" t="s">
        <v>173</v>
      </c>
      <c r="C1920" s="62">
        <f>VLOOKUP(B1920,合并仓明细!$D$2:$F$74,3,0)</f>
        <v>163</v>
      </c>
      <c r="D1920" t="s">
        <v>413</v>
      </c>
      <c r="E1920" s="43" t="s">
        <v>313</v>
      </c>
      <c r="F1920" t="s">
        <v>68</v>
      </c>
      <c r="G1920" s="42">
        <v>2.62</v>
      </c>
      <c r="H1920">
        <v>1.8879600000000001</v>
      </c>
      <c r="I1920" s="46">
        <f>ROUNDUP(H1920/30,0)*VLOOKUP(D1920,'报价表-配送'!$B$61:$I$65,8,0)</f>
        <v>0</v>
      </c>
      <c r="N1920" s="38">
        <f t="shared" si="29"/>
        <v>0</v>
      </c>
    </row>
    <row r="1921" spans="1:14" x14ac:dyDescent="0.25">
      <c r="A1921" s="56" t="s">
        <v>241</v>
      </c>
      <c r="B1921" s="43" t="s">
        <v>173</v>
      </c>
      <c r="C1921" s="62">
        <f>VLOOKUP(B1921,合并仓明细!$D$2:$F$74,3,0)</f>
        <v>163</v>
      </c>
      <c r="D1921" t="s">
        <v>413</v>
      </c>
      <c r="E1921" s="43" t="s">
        <v>313</v>
      </c>
      <c r="F1921" t="s">
        <v>67</v>
      </c>
      <c r="G1921" s="42">
        <v>1101.3</v>
      </c>
      <c r="H1921"/>
      <c r="N1921" s="38">
        <f t="shared" si="29"/>
        <v>0</v>
      </c>
    </row>
    <row r="1922" spans="1:14" x14ac:dyDescent="0.25">
      <c r="A1922" s="56" t="s">
        <v>241</v>
      </c>
      <c r="B1922" s="43" t="s">
        <v>173</v>
      </c>
      <c r="C1922" s="62">
        <f>VLOOKUP(B1922,合并仓明细!$D$2:$F$74,3,0)</f>
        <v>163</v>
      </c>
      <c r="D1922" t="s">
        <v>413</v>
      </c>
      <c r="E1922" s="43" t="s">
        <v>313</v>
      </c>
      <c r="F1922" t="s">
        <v>66</v>
      </c>
      <c r="G1922" s="42">
        <v>784.04000000000008</v>
      </c>
      <c r="H1922"/>
      <c r="N1922" s="38">
        <f t="shared" si="29"/>
        <v>0</v>
      </c>
    </row>
    <row r="1923" spans="1:14" x14ac:dyDescent="0.25">
      <c r="A1923" s="56" t="s">
        <v>241</v>
      </c>
      <c r="B1923" s="43" t="s">
        <v>173</v>
      </c>
      <c r="C1923" s="62">
        <f>VLOOKUP(B1923,合并仓明细!$D$2:$F$74,3,0)</f>
        <v>163</v>
      </c>
      <c r="D1923" t="s">
        <v>413</v>
      </c>
      <c r="E1923" s="43" t="s">
        <v>285</v>
      </c>
      <c r="F1923" t="s">
        <v>68</v>
      </c>
      <c r="G1923" s="42">
        <v>113.22999999999999</v>
      </c>
      <c r="H1923">
        <v>10.230919999999999</v>
      </c>
      <c r="I1923" s="46">
        <f>ROUNDUP(H1923/30,0)*VLOOKUP(D1923,'报价表-配送'!$B$61:$I$65,8,0)</f>
        <v>0</v>
      </c>
      <c r="N1923" s="38">
        <f t="shared" si="29"/>
        <v>0</v>
      </c>
    </row>
    <row r="1924" spans="1:14" x14ac:dyDescent="0.25">
      <c r="A1924" s="56" t="s">
        <v>241</v>
      </c>
      <c r="B1924" s="43" t="s">
        <v>173</v>
      </c>
      <c r="C1924" s="62">
        <f>VLOOKUP(B1924,合并仓明细!$D$2:$F$74,3,0)</f>
        <v>163</v>
      </c>
      <c r="D1924" t="s">
        <v>413</v>
      </c>
      <c r="E1924" s="43" t="s">
        <v>285</v>
      </c>
      <c r="F1924" t="s">
        <v>67</v>
      </c>
      <c r="G1924" s="42">
        <v>7777.66</v>
      </c>
      <c r="H1924"/>
      <c r="N1924" s="38">
        <f t="shared" si="29"/>
        <v>0</v>
      </c>
    </row>
    <row r="1925" spans="1:14" x14ac:dyDescent="0.25">
      <c r="A1925" s="56" t="s">
        <v>241</v>
      </c>
      <c r="B1925" s="43" t="s">
        <v>173</v>
      </c>
      <c r="C1925" s="62">
        <f>VLOOKUP(B1925,合并仓明细!$D$2:$F$74,3,0)</f>
        <v>163</v>
      </c>
      <c r="D1925" t="s">
        <v>413</v>
      </c>
      <c r="E1925" s="43" t="s">
        <v>285</v>
      </c>
      <c r="F1925" t="s">
        <v>66</v>
      </c>
      <c r="G1925" s="42">
        <v>2340.0300000000007</v>
      </c>
      <c r="H1925"/>
      <c r="N1925" s="38">
        <f t="shared" si="29"/>
        <v>0</v>
      </c>
    </row>
    <row r="1926" spans="1:14" x14ac:dyDescent="0.25">
      <c r="A1926" s="56" t="s">
        <v>241</v>
      </c>
      <c r="B1926" s="43" t="s">
        <v>173</v>
      </c>
      <c r="C1926" s="62">
        <f>VLOOKUP(B1926,合并仓明细!$D$2:$F$74,3,0)</f>
        <v>163</v>
      </c>
      <c r="D1926" t="s">
        <v>413</v>
      </c>
      <c r="E1926" s="43" t="s">
        <v>329</v>
      </c>
      <c r="F1926" t="s">
        <v>68</v>
      </c>
      <c r="G1926" s="42">
        <v>886.43000000000006</v>
      </c>
      <c r="H1926">
        <v>4.3694400000000009</v>
      </c>
      <c r="I1926" s="46">
        <f>ROUNDUP(H1926/30,0)*VLOOKUP(D1926,'报价表-配送'!$B$61:$I$65,8,0)</f>
        <v>0</v>
      </c>
      <c r="N1926" s="38">
        <f t="shared" si="29"/>
        <v>0</v>
      </c>
    </row>
    <row r="1927" spans="1:14" x14ac:dyDescent="0.25">
      <c r="A1927" s="56" t="s">
        <v>241</v>
      </c>
      <c r="B1927" s="43" t="s">
        <v>173</v>
      </c>
      <c r="C1927" s="62">
        <f>VLOOKUP(B1927,合并仓明细!$D$2:$F$74,3,0)</f>
        <v>163</v>
      </c>
      <c r="D1927" t="s">
        <v>413</v>
      </c>
      <c r="E1927" s="43" t="s">
        <v>329</v>
      </c>
      <c r="F1927" t="s">
        <v>67</v>
      </c>
      <c r="G1927" s="42">
        <v>2491.29</v>
      </c>
      <c r="H1927"/>
      <c r="N1927" s="38">
        <f t="shared" si="29"/>
        <v>0</v>
      </c>
    </row>
    <row r="1928" spans="1:14" x14ac:dyDescent="0.25">
      <c r="A1928" s="56" t="s">
        <v>241</v>
      </c>
      <c r="B1928" s="43" t="s">
        <v>173</v>
      </c>
      <c r="C1928" s="62">
        <f>VLOOKUP(B1928,合并仓明细!$D$2:$F$74,3,0)</f>
        <v>163</v>
      </c>
      <c r="D1928" t="s">
        <v>413</v>
      </c>
      <c r="E1928" s="43" t="s">
        <v>329</v>
      </c>
      <c r="F1928" t="s">
        <v>66</v>
      </c>
      <c r="G1928" s="42">
        <v>991.71999999999991</v>
      </c>
      <c r="H1928"/>
      <c r="N1928" s="38">
        <f t="shared" si="29"/>
        <v>0</v>
      </c>
    </row>
    <row r="1929" spans="1:14" x14ac:dyDescent="0.25">
      <c r="A1929" s="56" t="s">
        <v>241</v>
      </c>
      <c r="B1929" s="43" t="s">
        <v>173</v>
      </c>
      <c r="C1929" s="62">
        <f>VLOOKUP(B1929,合并仓明细!$D$2:$F$74,3,0)</f>
        <v>163</v>
      </c>
      <c r="D1929" t="s">
        <v>413</v>
      </c>
      <c r="E1929" s="43" t="s">
        <v>375</v>
      </c>
      <c r="F1929" t="s">
        <v>67</v>
      </c>
      <c r="G1929" s="42">
        <v>56.96</v>
      </c>
      <c r="H1929">
        <v>0.20946999999999999</v>
      </c>
      <c r="I1929" s="38">
        <f>IF(H1929&gt;30,QUOTIENT(H1929,30)*VLOOKUP(D1929,'报价表-配送'!$B$61:$I$65,8,0),0)+IF(AND(MOD(H1929,30)&gt;18,MOD(H1929,30)&lt;=30),1,0)*VLOOKUP(D1929,'报价表-配送'!$B$61:$I$65,8,0)</f>
        <v>0</v>
      </c>
      <c r="J1929" s="38">
        <f>IF(AND(MOD(H1929,30)&gt;8,MOD(H1929,30)&lt;=18),1*VLOOKUP(D1929,'报价表-配送'!$B$61:$I$65,7,0),0)</f>
        <v>0</v>
      </c>
      <c r="K1929" s="38">
        <f>IF(AND(MOD(H1929,30)&lt;=8,MOD(H1929,30)&gt;0),1,0)*VLOOKUP(D1929,'报价表-配送'!$B$61:$I$65,6,0)</f>
        <v>0</v>
      </c>
      <c r="N1929" s="38">
        <f t="shared" si="29"/>
        <v>0</v>
      </c>
    </row>
    <row r="1930" spans="1:14" x14ac:dyDescent="0.25">
      <c r="A1930" s="56" t="s">
        <v>241</v>
      </c>
      <c r="B1930" s="43" t="s">
        <v>173</v>
      </c>
      <c r="C1930" s="62">
        <f>VLOOKUP(B1930,合并仓明细!$D$2:$F$74,3,0)</f>
        <v>163</v>
      </c>
      <c r="D1930" t="s">
        <v>413</v>
      </c>
      <c r="E1930" s="43" t="s">
        <v>375</v>
      </c>
      <c r="F1930" t="s">
        <v>66</v>
      </c>
      <c r="G1930" s="42">
        <v>152.51</v>
      </c>
      <c r="H1930"/>
      <c r="N1930" s="38">
        <f t="shared" si="29"/>
        <v>0</v>
      </c>
    </row>
    <row r="1931" spans="1:14" x14ac:dyDescent="0.25">
      <c r="A1931" s="56" t="s">
        <v>241</v>
      </c>
      <c r="B1931" s="43" t="s">
        <v>173</v>
      </c>
      <c r="C1931" s="62">
        <f>VLOOKUP(B1931,合并仓明细!$D$2:$F$74,3,0)</f>
        <v>163</v>
      </c>
      <c r="D1931" t="s">
        <v>413</v>
      </c>
      <c r="E1931" s="43" t="s">
        <v>378</v>
      </c>
      <c r="F1931" t="s">
        <v>66</v>
      </c>
      <c r="G1931" s="42">
        <v>160.94999999999999</v>
      </c>
      <c r="H1931">
        <v>0.16094999999999998</v>
      </c>
      <c r="L1931" s="37">
        <f>IF(H1931&gt;30,QUOTIENT(H1931,30)*VLOOKUP(D1931,'报价表-配送'!$B$61:$I$65,8,0),0)+IF(AND(MOD(H1931,30)&gt;18,MOD(H1931,30)&lt;=30),1,0)*VLOOKUP(D1931,'报价表-配送'!$B$61:$I$65,8,0)+IF(AND(MOD(H1931,30)&gt;8,MOD(H1931,30)&lt;=18),1*VLOOKUP(D1931,'报价表-配送'!$B$61:$I$65,7,0),0)+IF(AND(MOD(H1931,30)&lt;=8,MOD(H1931,30)&gt;2.5),1,0)*VLOOKUP(D1931,'报价表-配送'!$B$61:$I$65,6,0)+IF(AND(MOD(H1931,30)&lt;=2.5,MOD(H1931,30)&gt;=1.5),1,0)*VLOOKUP(D1931,'报价表-配送'!$B$61:$I$65,5,0)</f>
        <v>0</v>
      </c>
      <c r="M1931" s="39">
        <f>IF(AND(MOD(H1931,30)&lt;1.5,MOD(H1931,30)&gt;=0.5),H1931,0)*VLOOKUP(D1931,'报价表-配送'!$B$61:$I$65,4,0)*1000+IF(AND(MOD(H1931,30)&lt;0.5,MOD(H1931,30)&gt;=0.02),H1931,0)*VLOOKUP(D1931,'报价表-配送'!$B$61:$I$65,3,0)*1000+IF(AND(MOD(H1931,30)&lt;0.02),H1931,0)*VLOOKUP(D1931,'报价表-配送'!$B$61:$I$65,2,0)*1000</f>
        <v>0</v>
      </c>
      <c r="N1931" s="38">
        <f t="shared" si="29"/>
        <v>0</v>
      </c>
    </row>
    <row r="1932" spans="1:14" x14ac:dyDescent="0.25">
      <c r="A1932" s="56" t="s">
        <v>241</v>
      </c>
      <c r="B1932" s="43" t="s">
        <v>173</v>
      </c>
      <c r="C1932" s="62">
        <f>VLOOKUP(B1932,合并仓明细!$D$2:$F$74,3,0)</f>
        <v>163</v>
      </c>
      <c r="D1932" t="s">
        <v>413</v>
      </c>
      <c r="E1932" s="43" t="s">
        <v>348</v>
      </c>
      <c r="F1932" t="s">
        <v>68</v>
      </c>
      <c r="G1932" s="42">
        <v>877.39</v>
      </c>
      <c r="H1932">
        <v>1.79236</v>
      </c>
      <c r="I1932" s="46">
        <f>ROUNDUP(H1932/30,0)*VLOOKUP(D1932,'报价表-配送'!$B$61:$I$65,8,0)</f>
        <v>0</v>
      </c>
      <c r="N1932" s="38">
        <f t="shared" si="29"/>
        <v>0</v>
      </c>
    </row>
    <row r="1933" spans="1:14" x14ac:dyDescent="0.25">
      <c r="A1933" s="56" t="s">
        <v>241</v>
      </c>
      <c r="B1933" s="43" t="s">
        <v>173</v>
      </c>
      <c r="C1933" s="62">
        <f>VLOOKUP(B1933,合并仓明细!$D$2:$F$74,3,0)</f>
        <v>163</v>
      </c>
      <c r="D1933" t="s">
        <v>413</v>
      </c>
      <c r="E1933" s="43" t="s">
        <v>348</v>
      </c>
      <c r="F1933" t="s">
        <v>66</v>
      </c>
      <c r="G1933" s="42">
        <v>914.96999999999991</v>
      </c>
      <c r="H1933"/>
      <c r="N1933" s="38">
        <f t="shared" si="29"/>
        <v>0</v>
      </c>
    </row>
    <row r="1934" spans="1:14" x14ac:dyDescent="0.25">
      <c r="A1934" s="56" t="s">
        <v>241</v>
      </c>
      <c r="B1934" s="43" t="s">
        <v>173</v>
      </c>
      <c r="C1934" s="62">
        <f>VLOOKUP(B1934,合并仓明细!$D$2:$F$74,3,0)</f>
        <v>163</v>
      </c>
      <c r="D1934" t="s">
        <v>413</v>
      </c>
      <c r="E1934" s="43" t="s">
        <v>286</v>
      </c>
      <c r="F1934" t="s">
        <v>68</v>
      </c>
      <c r="G1934" s="42">
        <v>1360.14</v>
      </c>
      <c r="H1934">
        <v>1.9867300000000001</v>
      </c>
      <c r="I1934" s="46">
        <f>ROUNDUP(H1934/30,0)*VLOOKUP(D1934,'报价表-配送'!$B$61:$I$65,8,0)</f>
        <v>0</v>
      </c>
      <c r="N1934" s="38">
        <f t="shared" si="29"/>
        <v>0</v>
      </c>
    </row>
    <row r="1935" spans="1:14" x14ac:dyDescent="0.25">
      <c r="A1935" s="56" t="s">
        <v>241</v>
      </c>
      <c r="B1935" s="43" t="s">
        <v>173</v>
      </c>
      <c r="C1935" s="62">
        <f>VLOOKUP(B1935,合并仓明细!$D$2:$F$74,3,0)</f>
        <v>163</v>
      </c>
      <c r="D1935" t="s">
        <v>413</v>
      </c>
      <c r="E1935" s="43" t="s">
        <v>286</v>
      </c>
      <c r="F1935" t="s">
        <v>67</v>
      </c>
      <c r="G1935" s="42">
        <v>185.01</v>
      </c>
      <c r="H1935"/>
      <c r="N1935" s="38">
        <f t="shared" si="29"/>
        <v>0</v>
      </c>
    </row>
    <row r="1936" spans="1:14" x14ac:dyDescent="0.25">
      <c r="A1936" s="56" t="s">
        <v>241</v>
      </c>
      <c r="B1936" s="43" t="s">
        <v>173</v>
      </c>
      <c r="C1936" s="62">
        <f>VLOOKUP(B1936,合并仓明细!$D$2:$F$74,3,0)</f>
        <v>163</v>
      </c>
      <c r="D1936" t="s">
        <v>413</v>
      </c>
      <c r="E1936" s="43" t="s">
        <v>286</v>
      </c>
      <c r="F1936" t="s">
        <v>66</v>
      </c>
      <c r="G1936" s="42">
        <v>441.58</v>
      </c>
      <c r="H1936"/>
      <c r="N1936" s="38">
        <f t="shared" si="29"/>
        <v>0</v>
      </c>
    </row>
    <row r="1937" spans="1:14" x14ac:dyDescent="0.25">
      <c r="A1937" s="56" t="s">
        <v>241</v>
      </c>
      <c r="B1937" s="43" t="s">
        <v>173</v>
      </c>
      <c r="C1937" s="62">
        <f>VLOOKUP(B1937,合并仓明细!$D$2:$F$74,3,0)</f>
        <v>163</v>
      </c>
      <c r="D1937" t="s">
        <v>413</v>
      </c>
      <c r="E1937" s="43" t="s">
        <v>247</v>
      </c>
      <c r="F1937" t="s">
        <v>66</v>
      </c>
      <c r="G1937" s="42">
        <v>749.88</v>
      </c>
      <c r="H1937">
        <v>0.74987999999999999</v>
      </c>
      <c r="L1937" s="37">
        <f>IF(H1937&gt;30,QUOTIENT(H1937,30)*VLOOKUP(D1937,'报价表-配送'!$B$61:$I$65,8,0),0)+IF(AND(MOD(H1937,30)&gt;18,MOD(H1937,30)&lt;=30),1,0)*VLOOKUP(D1937,'报价表-配送'!$B$61:$I$65,8,0)+IF(AND(MOD(H1937,30)&gt;8,MOD(H1937,30)&lt;=18),1*VLOOKUP(D1937,'报价表-配送'!$B$61:$I$65,7,0),0)+IF(AND(MOD(H1937,30)&lt;=8,MOD(H1937,30)&gt;2.5),1,0)*VLOOKUP(D1937,'报价表-配送'!$B$61:$I$65,6,0)+IF(AND(MOD(H1937,30)&lt;=2.5,MOD(H1937,30)&gt;=1.5),1,0)*VLOOKUP(D1937,'报价表-配送'!$B$61:$I$65,5,0)</f>
        <v>0</v>
      </c>
      <c r="M1937" s="39">
        <f>IF(AND(MOD(H1937,30)&lt;1.5,MOD(H1937,30)&gt;=0.5),H1937,0)*VLOOKUP(D1937,'报价表-配送'!$B$61:$I$65,4,0)*1000+IF(AND(MOD(H1937,30)&lt;0.5,MOD(H1937,30)&gt;=0.02),H1937,0)*VLOOKUP(D1937,'报价表-配送'!$B$61:$I$65,3,0)*1000+IF(AND(MOD(H1937,30)&lt;0.02),H1937,0)*VLOOKUP(D1937,'报价表-配送'!$B$61:$I$65,2,0)*1000</f>
        <v>0</v>
      </c>
      <c r="N1937" s="38">
        <f t="shared" si="29"/>
        <v>0</v>
      </c>
    </row>
    <row r="1938" spans="1:14" x14ac:dyDescent="0.25">
      <c r="A1938" s="56" t="s">
        <v>241</v>
      </c>
      <c r="B1938" s="43" t="s">
        <v>173</v>
      </c>
      <c r="C1938" s="62">
        <f>VLOOKUP(B1938,合并仓明细!$D$2:$F$74,3,0)</f>
        <v>163</v>
      </c>
      <c r="D1938" t="s">
        <v>413</v>
      </c>
      <c r="E1938" s="43" t="s">
        <v>289</v>
      </c>
      <c r="F1938" t="s">
        <v>66</v>
      </c>
      <c r="G1938" s="42">
        <v>1504.98</v>
      </c>
      <c r="H1938">
        <v>1.50498</v>
      </c>
      <c r="L1938" s="37">
        <f>IF(H1938&gt;30,QUOTIENT(H1938,30)*VLOOKUP(D1938,'报价表-配送'!$B$61:$I$65,8,0),0)+IF(AND(MOD(H1938,30)&gt;18,MOD(H1938,30)&lt;=30),1,0)*VLOOKUP(D1938,'报价表-配送'!$B$61:$I$65,8,0)+IF(AND(MOD(H1938,30)&gt;8,MOD(H1938,30)&lt;=18),1*VLOOKUP(D1938,'报价表-配送'!$B$61:$I$65,7,0),0)+IF(AND(MOD(H1938,30)&lt;=8,MOD(H1938,30)&gt;2.5),1,0)*VLOOKUP(D1938,'报价表-配送'!$B$61:$I$65,6,0)+IF(AND(MOD(H1938,30)&lt;=2.5,MOD(H1938,30)&gt;=1.5),1,0)*VLOOKUP(D1938,'报价表-配送'!$B$61:$I$65,5,0)</f>
        <v>0</v>
      </c>
      <c r="M1938" s="39">
        <f>IF(AND(MOD(H1938,30)&lt;1.5,MOD(H1938,30)&gt;=0.5),H1938,0)*VLOOKUP(D1938,'报价表-配送'!$B$61:$I$65,4,0)*1000+IF(AND(MOD(H1938,30)&lt;0.5,MOD(H1938,30)&gt;=0.02),H1938,0)*VLOOKUP(D1938,'报价表-配送'!$B$61:$I$65,3,0)*1000+IF(AND(MOD(H1938,30)&lt;0.02),H1938,0)*VLOOKUP(D1938,'报价表-配送'!$B$61:$I$65,2,0)*1000</f>
        <v>0</v>
      </c>
      <c r="N1938" s="38">
        <f t="shared" si="29"/>
        <v>0</v>
      </c>
    </row>
    <row r="1939" spans="1:14" x14ac:dyDescent="0.25">
      <c r="A1939" s="56" t="s">
        <v>241</v>
      </c>
      <c r="B1939" s="43" t="s">
        <v>173</v>
      </c>
      <c r="C1939" s="62">
        <f>VLOOKUP(B1939,合并仓明细!$D$2:$F$74,3,0)</f>
        <v>163</v>
      </c>
      <c r="D1939" t="s">
        <v>413</v>
      </c>
      <c r="E1939" s="43" t="s">
        <v>349</v>
      </c>
      <c r="F1939" t="s">
        <v>67</v>
      </c>
      <c r="G1939" s="42">
        <v>393.96000000000004</v>
      </c>
      <c r="H1939">
        <v>0.55762</v>
      </c>
      <c r="I1939" s="38">
        <f>IF(H1939&gt;30,QUOTIENT(H1939,30)*VLOOKUP(D1939,'报价表-配送'!$B$61:$I$65,8,0),0)+IF(AND(MOD(H1939,30)&gt;18,MOD(H1939,30)&lt;=30),1,0)*VLOOKUP(D1939,'报价表-配送'!$B$61:$I$65,8,0)</f>
        <v>0</v>
      </c>
      <c r="J1939" s="38">
        <f>IF(AND(MOD(H1939,30)&gt;8,MOD(H1939,30)&lt;=18),1*VLOOKUP(D1939,'报价表-配送'!$B$61:$I$65,7,0),0)</f>
        <v>0</v>
      </c>
      <c r="K1939" s="38">
        <f>IF(AND(MOD(H1939,30)&lt;=8,MOD(H1939,30)&gt;0),1,0)*VLOOKUP(D1939,'报价表-配送'!$B$61:$I$65,6,0)</f>
        <v>0</v>
      </c>
      <c r="N1939" s="38">
        <f t="shared" si="29"/>
        <v>0</v>
      </c>
    </row>
    <row r="1940" spans="1:14" x14ac:dyDescent="0.25">
      <c r="A1940" s="56" t="s">
        <v>241</v>
      </c>
      <c r="B1940" s="43" t="s">
        <v>173</v>
      </c>
      <c r="C1940" s="62">
        <f>VLOOKUP(B1940,合并仓明细!$D$2:$F$74,3,0)</f>
        <v>163</v>
      </c>
      <c r="D1940" t="s">
        <v>413</v>
      </c>
      <c r="E1940" s="43" t="s">
        <v>349</v>
      </c>
      <c r="F1940" t="s">
        <v>66</v>
      </c>
      <c r="G1940" s="42">
        <v>163.66</v>
      </c>
      <c r="H1940"/>
      <c r="N1940" s="38">
        <f t="shared" si="29"/>
        <v>0</v>
      </c>
    </row>
    <row r="1941" spans="1:14" x14ac:dyDescent="0.25">
      <c r="A1941" s="56" t="s">
        <v>241</v>
      </c>
      <c r="B1941" s="43" t="s">
        <v>173</v>
      </c>
      <c r="C1941" s="62">
        <f>VLOOKUP(B1941,合并仓明细!$D$2:$F$74,3,0)</f>
        <v>163</v>
      </c>
      <c r="D1941" t="s">
        <v>413</v>
      </c>
      <c r="E1941" s="43" t="s">
        <v>316</v>
      </c>
      <c r="F1941" t="s">
        <v>67</v>
      </c>
      <c r="G1941" s="42">
        <v>1723.6100000000001</v>
      </c>
      <c r="H1941">
        <v>3.3552700000000004</v>
      </c>
      <c r="I1941" s="38">
        <f>IF(H1941&gt;30,QUOTIENT(H1941,30)*VLOOKUP(D1941,'报价表-配送'!$B$61:$I$65,8,0),0)+IF(AND(MOD(H1941,30)&gt;18,MOD(H1941,30)&lt;=30),1,0)*VLOOKUP(D1941,'报价表-配送'!$B$61:$I$65,8,0)</f>
        <v>0</v>
      </c>
      <c r="J1941" s="38">
        <f>IF(AND(MOD(H1941,30)&gt;8,MOD(H1941,30)&lt;=18),1*VLOOKUP(D1941,'报价表-配送'!$B$61:$I$65,7,0),0)</f>
        <v>0</v>
      </c>
      <c r="K1941" s="38">
        <f>IF(AND(MOD(H1941,30)&lt;=8,MOD(H1941,30)&gt;0),1,0)*VLOOKUP(D1941,'报价表-配送'!$B$61:$I$65,6,0)</f>
        <v>0</v>
      </c>
      <c r="N1941" s="38">
        <f t="shared" si="29"/>
        <v>0</v>
      </c>
    </row>
    <row r="1942" spans="1:14" x14ac:dyDescent="0.25">
      <c r="A1942" s="56" t="s">
        <v>241</v>
      </c>
      <c r="B1942" s="43" t="s">
        <v>173</v>
      </c>
      <c r="C1942" s="62">
        <f>VLOOKUP(B1942,合并仓明细!$D$2:$F$74,3,0)</f>
        <v>163</v>
      </c>
      <c r="D1942" t="s">
        <v>413</v>
      </c>
      <c r="E1942" s="43" t="s">
        <v>316</v>
      </c>
      <c r="F1942" t="s">
        <v>66</v>
      </c>
      <c r="G1942" s="42">
        <v>1631.66</v>
      </c>
      <c r="H1942"/>
      <c r="N1942" s="38">
        <f t="shared" si="29"/>
        <v>0</v>
      </c>
    </row>
    <row r="1943" spans="1:14" x14ac:dyDescent="0.25">
      <c r="A1943" s="56" t="s">
        <v>241</v>
      </c>
      <c r="B1943" s="43" t="s">
        <v>173</v>
      </c>
      <c r="C1943" s="62">
        <f>VLOOKUP(B1943,合并仓明细!$D$2:$F$74,3,0)</f>
        <v>163</v>
      </c>
      <c r="D1943" t="s">
        <v>413</v>
      </c>
      <c r="E1943" s="43" t="s">
        <v>248</v>
      </c>
      <c r="F1943" t="s">
        <v>68</v>
      </c>
      <c r="G1943" s="42">
        <v>511.53</v>
      </c>
      <c r="H1943">
        <v>1.3779600000000001</v>
      </c>
      <c r="I1943" s="46">
        <f>ROUNDUP(H1943/30,0)*VLOOKUP(D1943,'报价表-配送'!$B$61:$I$65,8,0)</f>
        <v>0</v>
      </c>
      <c r="N1943" s="38">
        <f t="shared" si="29"/>
        <v>0</v>
      </c>
    </row>
    <row r="1944" spans="1:14" x14ac:dyDescent="0.25">
      <c r="A1944" s="56" t="s">
        <v>241</v>
      </c>
      <c r="B1944" s="43" t="s">
        <v>173</v>
      </c>
      <c r="C1944" s="62">
        <f>VLOOKUP(B1944,合并仓明细!$D$2:$F$74,3,0)</f>
        <v>163</v>
      </c>
      <c r="D1944" t="s">
        <v>413</v>
      </c>
      <c r="E1944" s="43" t="s">
        <v>248</v>
      </c>
      <c r="F1944" t="s">
        <v>67</v>
      </c>
      <c r="G1944" s="42">
        <v>541.94000000000005</v>
      </c>
      <c r="H1944"/>
      <c r="N1944" s="38">
        <f t="shared" si="29"/>
        <v>0</v>
      </c>
    </row>
    <row r="1945" spans="1:14" x14ac:dyDescent="0.25">
      <c r="A1945" s="56" t="s">
        <v>241</v>
      </c>
      <c r="B1945" s="43" t="s">
        <v>173</v>
      </c>
      <c r="C1945" s="62">
        <f>VLOOKUP(B1945,合并仓明细!$D$2:$F$74,3,0)</f>
        <v>163</v>
      </c>
      <c r="D1945" t="s">
        <v>413</v>
      </c>
      <c r="E1945" s="43" t="s">
        <v>248</v>
      </c>
      <c r="F1945" t="s">
        <v>66</v>
      </c>
      <c r="G1945" s="42">
        <v>324.49000000000007</v>
      </c>
      <c r="H1945"/>
      <c r="N1945" s="38">
        <f t="shared" si="29"/>
        <v>0</v>
      </c>
    </row>
    <row r="1946" spans="1:14" x14ac:dyDescent="0.25">
      <c r="A1946" s="56" t="s">
        <v>241</v>
      </c>
      <c r="B1946" s="43" t="s">
        <v>173</v>
      </c>
      <c r="C1946" s="62">
        <f>VLOOKUP(B1946,合并仓明细!$D$2:$F$74,3,0)</f>
        <v>163</v>
      </c>
      <c r="D1946" t="s">
        <v>413</v>
      </c>
      <c r="E1946" s="43" t="s">
        <v>341</v>
      </c>
      <c r="F1946" t="s">
        <v>66</v>
      </c>
      <c r="G1946" s="42">
        <v>101</v>
      </c>
      <c r="H1946">
        <v>0.10100000000000001</v>
      </c>
      <c r="L1946" s="37">
        <f>IF(H1946&gt;30,QUOTIENT(H1946,30)*VLOOKUP(D1946,'报价表-配送'!$B$61:$I$65,8,0),0)+IF(AND(MOD(H1946,30)&gt;18,MOD(H1946,30)&lt;=30),1,0)*VLOOKUP(D1946,'报价表-配送'!$B$61:$I$65,8,0)+IF(AND(MOD(H1946,30)&gt;8,MOD(H1946,30)&lt;=18),1*VLOOKUP(D1946,'报价表-配送'!$B$61:$I$65,7,0),0)+IF(AND(MOD(H1946,30)&lt;=8,MOD(H1946,30)&gt;2.5),1,0)*VLOOKUP(D1946,'报价表-配送'!$B$61:$I$65,6,0)+IF(AND(MOD(H1946,30)&lt;=2.5,MOD(H1946,30)&gt;=1.5),1,0)*VLOOKUP(D1946,'报价表-配送'!$B$61:$I$65,5,0)</f>
        <v>0</v>
      </c>
      <c r="M1946" s="39">
        <f>IF(AND(MOD(H1946,30)&lt;1.5,MOD(H1946,30)&gt;=0.5),H1946,0)*VLOOKUP(D1946,'报价表-配送'!$B$61:$I$65,4,0)*1000+IF(AND(MOD(H1946,30)&lt;0.5,MOD(H1946,30)&gt;=0.02),H1946,0)*VLOOKUP(D1946,'报价表-配送'!$B$61:$I$65,3,0)*1000+IF(AND(MOD(H1946,30)&lt;0.02),H1946,0)*VLOOKUP(D1946,'报价表-配送'!$B$61:$I$65,2,0)*1000</f>
        <v>0</v>
      </c>
      <c r="N1946" s="38">
        <f t="shared" si="29"/>
        <v>0</v>
      </c>
    </row>
    <row r="1947" spans="1:14" x14ac:dyDescent="0.25">
      <c r="A1947" s="56" t="s">
        <v>241</v>
      </c>
      <c r="B1947" s="43" t="s">
        <v>173</v>
      </c>
      <c r="C1947" s="62">
        <f>VLOOKUP(B1947,合并仓明细!$D$2:$F$74,3,0)</f>
        <v>163</v>
      </c>
      <c r="D1947" t="s">
        <v>413</v>
      </c>
      <c r="E1947" s="43" t="s">
        <v>359</v>
      </c>
      <c r="F1947" t="s">
        <v>68</v>
      </c>
      <c r="G1947" s="42">
        <v>6587.24</v>
      </c>
      <c r="H1947">
        <v>6.7073999999999998</v>
      </c>
      <c r="I1947" s="46">
        <f>ROUNDUP(H1947/30,0)*VLOOKUP(D1947,'报价表-配送'!$B$61:$I$65,8,0)</f>
        <v>0</v>
      </c>
      <c r="N1947" s="38">
        <f t="shared" si="29"/>
        <v>0</v>
      </c>
    </row>
    <row r="1948" spans="1:14" x14ac:dyDescent="0.25">
      <c r="A1948" s="56" t="s">
        <v>241</v>
      </c>
      <c r="B1948" s="43" t="s">
        <v>173</v>
      </c>
      <c r="C1948" s="62">
        <f>VLOOKUP(B1948,合并仓明细!$D$2:$F$74,3,0)</f>
        <v>163</v>
      </c>
      <c r="D1948" t="s">
        <v>413</v>
      </c>
      <c r="E1948" s="43" t="s">
        <v>359</v>
      </c>
      <c r="F1948" t="s">
        <v>67</v>
      </c>
      <c r="G1948" s="42">
        <v>120.16</v>
      </c>
      <c r="H1948"/>
      <c r="N1948" s="38">
        <f t="shared" si="29"/>
        <v>0</v>
      </c>
    </row>
    <row r="1949" spans="1:14" x14ac:dyDescent="0.25">
      <c r="A1949" s="56" t="s">
        <v>241</v>
      </c>
      <c r="B1949" s="43" t="s">
        <v>173</v>
      </c>
      <c r="C1949" s="62">
        <f>VLOOKUP(B1949,合并仓明细!$D$2:$F$74,3,0)</f>
        <v>163</v>
      </c>
      <c r="D1949" t="s">
        <v>413</v>
      </c>
      <c r="E1949" s="43" t="s">
        <v>293</v>
      </c>
      <c r="F1949" t="s">
        <v>66</v>
      </c>
      <c r="G1949" s="42">
        <v>7.1</v>
      </c>
      <c r="H1949">
        <v>7.0999999999999995E-3</v>
      </c>
      <c r="L1949" s="37">
        <f>IF(H1949&gt;30,QUOTIENT(H1949,30)*VLOOKUP(D1949,'报价表-配送'!$B$61:$I$65,8,0),0)+IF(AND(MOD(H1949,30)&gt;18,MOD(H1949,30)&lt;=30),1,0)*VLOOKUP(D1949,'报价表-配送'!$B$61:$I$65,8,0)+IF(AND(MOD(H1949,30)&gt;8,MOD(H1949,30)&lt;=18),1*VLOOKUP(D1949,'报价表-配送'!$B$61:$I$65,7,0),0)+IF(AND(MOD(H1949,30)&lt;=8,MOD(H1949,30)&gt;2.5),1,0)*VLOOKUP(D1949,'报价表-配送'!$B$61:$I$65,6,0)+IF(AND(MOD(H1949,30)&lt;=2.5,MOD(H1949,30)&gt;=1.5),1,0)*VLOOKUP(D1949,'报价表-配送'!$B$61:$I$65,5,0)</f>
        <v>0</v>
      </c>
      <c r="M1949" s="39">
        <f>IF(AND(MOD(H1949,30)&lt;1.5,MOD(H1949,30)&gt;=0.5),H1949,0)*VLOOKUP(D1949,'报价表-配送'!$B$61:$I$65,4,0)*1000+IF(AND(MOD(H1949,30)&lt;0.5,MOD(H1949,30)&gt;=0.02),H1949,0)*VLOOKUP(D1949,'报价表-配送'!$B$61:$I$65,3,0)*1000+IF(AND(MOD(H1949,30)&lt;0.02),H1949,0)*VLOOKUP(D1949,'报价表-配送'!$B$61:$I$65,2,0)*1000</f>
        <v>0</v>
      </c>
      <c r="N1949" s="38">
        <f t="shared" si="29"/>
        <v>0</v>
      </c>
    </row>
    <row r="1950" spans="1:14" x14ac:dyDescent="0.25">
      <c r="A1950" s="56" t="s">
        <v>241</v>
      </c>
      <c r="B1950" s="43" t="s">
        <v>173</v>
      </c>
      <c r="C1950" s="62">
        <f>VLOOKUP(B1950,合并仓明细!$D$2:$F$74,3,0)</f>
        <v>163</v>
      </c>
      <c r="D1950" t="s">
        <v>413</v>
      </c>
      <c r="E1950" s="43" t="s">
        <v>342</v>
      </c>
      <c r="F1950" t="s">
        <v>66</v>
      </c>
      <c r="G1950" s="42">
        <v>2654</v>
      </c>
      <c r="H1950">
        <v>2.6539999999999999</v>
      </c>
      <c r="L1950" s="37">
        <f>IF(H1950&gt;30,QUOTIENT(H1950,30)*VLOOKUP(D1950,'报价表-配送'!$B$61:$I$65,8,0),0)+IF(AND(MOD(H1950,30)&gt;18,MOD(H1950,30)&lt;=30),1,0)*VLOOKUP(D1950,'报价表-配送'!$B$61:$I$65,8,0)+IF(AND(MOD(H1950,30)&gt;8,MOD(H1950,30)&lt;=18),1*VLOOKUP(D1950,'报价表-配送'!$B$61:$I$65,7,0),0)+IF(AND(MOD(H1950,30)&lt;=8,MOD(H1950,30)&gt;2.5),1,0)*VLOOKUP(D1950,'报价表-配送'!$B$61:$I$65,6,0)+IF(AND(MOD(H1950,30)&lt;=2.5,MOD(H1950,30)&gt;=1.5),1,0)*VLOOKUP(D1950,'报价表-配送'!$B$61:$I$65,5,0)</f>
        <v>0</v>
      </c>
      <c r="M1950" s="39">
        <f>IF(AND(MOD(H1950,30)&lt;1.5,MOD(H1950,30)&gt;=0.5),H1950,0)*VLOOKUP(D1950,'报价表-配送'!$B$61:$I$65,4,0)*1000+IF(AND(MOD(H1950,30)&lt;0.5,MOD(H1950,30)&gt;=0.02),H1950,0)*VLOOKUP(D1950,'报价表-配送'!$B$61:$I$65,3,0)*1000+IF(AND(MOD(H1950,30)&lt;0.02),H1950,0)*VLOOKUP(D1950,'报价表-配送'!$B$61:$I$65,2,0)*1000</f>
        <v>0</v>
      </c>
      <c r="N1950" s="38">
        <f t="shared" si="29"/>
        <v>0</v>
      </c>
    </row>
    <row r="1951" spans="1:14" x14ac:dyDescent="0.25">
      <c r="A1951" s="56" t="s">
        <v>241</v>
      </c>
      <c r="B1951" s="43" t="s">
        <v>173</v>
      </c>
      <c r="C1951" s="62">
        <f>VLOOKUP(B1951,合并仓明细!$D$2:$F$74,3,0)</f>
        <v>163</v>
      </c>
      <c r="D1951" t="s">
        <v>413</v>
      </c>
      <c r="E1951" s="43" t="s">
        <v>358</v>
      </c>
      <c r="F1951" t="s">
        <v>68</v>
      </c>
      <c r="G1951" s="42">
        <v>25.54</v>
      </c>
      <c r="H1951">
        <v>4.6929399999999992</v>
      </c>
      <c r="I1951" s="46">
        <f>ROUNDUP(H1951/30,0)*VLOOKUP(D1951,'报价表-配送'!$B$61:$I$65,8,0)</f>
        <v>0</v>
      </c>
      <c r="N1951" s="38">
        <f t="shared" si="29"/>
        <v>0</v>
      </c>
    </row>
    <row r="1952" spans="1:14" x14ac:dyDescent="0.25">
      <c r="A1952" s="56" t="s">
        <v>241</v>
      </c>
      <c r="B1952" s="43" t="s">
        <v>173</v>
      </c>
      <c r="C1952" s="62">
        <f>VLOOKUP(B1952,合并仓明细!$D$2:$F$74,3,0)</f>
        <v>163</v>
      </c>
      <c r="D1952" t="s">
        <v>413</v>
      </c>
      <c r="E1952" s="43" t="s">
        <v>358</v>
      </c>
      <c r="F1952" t="s">
        <v>67</v>
      </c>
      <c r="G1952" s="42">
        <v>3357.41</v>
      </c>
      <c r="H1952"/>
      <c r="N1952" s="38">
        <f t="shared" si="29"/>
        <v>0</v>
      </c>
    </row>
    <row r="1953" spans="1:14" x14ac:dyDescent="0.25">
      <c r="A1953" s="56" t="s">
        <v>241</v>
      </c>
      <c r="B1953" s="43" t="s">
        <v>173</v>
      </c>
      <c r="C1953" s="62">
        <f>VLOOKUP(B1953,合并仓明细!$D$2:$F$74,3,0)</f>
        <v>163</v>
      </c>
      <c r="D1953" t="s">
        <v>413</v>
      </c>
      <c r="E1953" s="44" t="s">
        <v>358</v>
      </c>
      <c r="F1953" t="s">
        <v>66</v>
      </c>
      <c r="G1953" s="42">
        <v>1309.99</v>
      </c>
      <c r="H1953"/>
      <c r="N1953" s="38">
        <f t="shared" si="29"/>
        <v>0</v>
      </c>
    </row>
    <row r="1954" spans="1:14" x14ac:dyDescent="0.25">
      <c r="A1954" s="56" t="s">
        <v>241</v>
      </c>
      <c r="B1954" s="43" t="s">
        <v>173</v>
      </c>
      <c r="C1954" s="62">
        <f>VLOOKUP(B1954,合并仓明细!$D$2:$F$74,3,0)</f>
        <v>163</v>
      </c>
      <c r="D1954" t="s">
        <v>413</v>
      </c>
      <c r="E1954" s="43" t="s">
        <v>370</v>
      </c>
      <c r="F1954" t="s">
        <v>66</v>
      </c>
      <c r="G1954" s="42">
        <v>16.350000000000001</v>
      </c>
      <c r="H1954">
        <v>1.635E-2</v>
      </c>
      <c r="L1954" s="37">
        <f>IF(H1954&gt;30,QUOTIENT(H1954,30)*VLOOKUP(D1954,'报价表-配送'!$B$61:$I$65,8,0),0)+IF(AND(MOD(H1954,30)&gt;18,MOD(H1954,30)&lt;=30),1,0)*VLOOKUP(D1954,'报价表-配送'!$B$61:$I$65,8,0)+IF(AND(MOD(H1954,30)&gt;8,MOD(H1954,30)&lt;=18),1*VLOOKUP(D1954,'报价表-配送'!$B$61:$I$65,7,0),0)+IF(AND(MOD(H1954,30)&lt;=8,MOD(H1954,30)&gt;2.5),1,0)*VLOOKUP(D1954,'报价表-配送'!$B$61:$I$65,6,0)+IF(AND(MOD(H1954,30)&lt;=2.5,MOD(H1954,30)&gt;=1.5),1,0)*VLOOKUP(D1954,'报价表-配送'!$B$61:$I$65,5,0)</f>
        <v>0</v>
      </c>
      <c r="M1954" s="39">
        <f>IF(AND(MOD(H1954,30)&lt;1.5,MOD(H1954,30)&gt;=0.5),H1954,0)*VLOOKUP(D1954,'报价表-配送'!$B$61:$I$65,4,0)*1000+IF(AND(MOD(H1954,30)&lt;0.5,MOD(H1954,30)&gt;=0.02),H1954,0)*VLOOKUP(D1954,'报价表-配送'!$B$61:$I$65,3,0)*1000+IF(AND(MOD(H1954,30)&lt;0.02),H1954,0)*VLOOKUP(D1954,'报价表-配送'!$B$61:$I$65,2,0)*1000</f>
        <v>0</v>
      </c>
      <c r="N1954" s="38">
        <f t="shared" si="29"/>
        <v>0</v>
      </c>
    </row>
    <row r="1955" spans="1:14" x14ac:dyDescent="0.25">
      <c r="A1955" s="56" t="s">
        <v>241</v>
      </c>
      <c r="B1955" s="43" t="s">
        <v>173</v>
      </c>
      <c r="C1955" s="62">
        <f>VLOOKUP(B1955,合并仓明细!$D$2:$F$74,3,0)</f>
        <v>163</v>
      </c>
      <c r="D1955" t="s">
        <v>413</v>
      </c>
      <c r="E1955" s="44" t="s">
        <v>353</v>
      </c>
      <c r="F1955" t="s">
        <v>68</v>
      </c>
      <c r="G1955" s="42">
        <v>1508.29</v>
      </c>
      <c r="H1955">
        <v>4.6373899999999999</v>
      </c>
      <c r="I1955" s="46">
        <f>ROUNDUP(H1955/30,0)*VLOOKUP(D1955,'报价表-配送'!$B$61:$I$65,8,0)</f>
        <v>0</v>
      </c>
      <c r="N1955" s="38">
        <f t="shared" si="29"/>
        <v>0</v>
      </c>
    </row>
    <row r="1956" spans="1:14" x14ac:dyDescent="0.25">
      <c r="A1956" s="56" t="s">
        <v>241</v>
      </c>
      <c r="B1956" s="43" t="s">
        <v>173</v>
      </c>
      <c r="C1956" s="62">
        <f>VLOOKUP(B1956,合并仓明细!$D$2:$F$74,3,0)</f>
        <v>163</v>
      </c>
      <c r="D1956" t="s">
        <v>413</v>
      </c>
      <c r="E1956" s="43" t="s">
        <v>353</v>
      </c>
      <c r="F1956" t="s">
        <v>67</v>
      </c>
      <c r="G1956" s="42">
        <v>2056.88</v>
      </c>
      <c r="H1956"/>
      <c r="N1956" s="38">
        <f t="shared" si="29"/>
        <v>0</v>
      </c>
    </row>
    <row r="1957" spans="1:14" x14ac:dyDescent="0.25">
      <c r="A1957" s="56" t="s">
        <v>241</v>
      </c>
      <c r="B1957" s="45" t="s">
        <v>173</v>
      </c>
      <c r="C1957" s="62">
        <f>VLOOKUP(B1957,合并仓明细!$D$2:$F$74,3,0)</f>
        <v>163</v>
      </c>
      <c r="D1957" t="s">
        <v>413</v>
      </c>
      <c r="E1957" s="43" t="s">
        <v>353</v>
      </c>
      <c r="F1957" t="s">
        <v>66</v>
      </c>
      <c r="G1957" s="42">
        <v>1072.22</v>
      </c>
      <c r="H1957"/>
      <c r="N1957" s="38">
        <f t="shared" si="29"/>
        <v>0</v>
      </c>
    </row>
    <row r="1958" spans="1:14" x14ac:dyDescent="0.25">
      <c r="A1958" s="56" t="s">
        <v>241</v>
      </c>
      <c r="B1958" s="43" t="s">
        <v>173</v>
      </c>
      <c r="C1958" s="62">
        <f>VLOOKUP(B1958,合并仓明细!$D$2:$F$74,3,0)</f>
        <v>163</v>
      </c>
      <c r="D1958" t="s">
        <v>413</v>
      </c>
      <c r="E1958" s="43" t="s">
        <v>325</v>
      </c>
      <c r="F1958" t="s">
        <v>66</v>
      </c>
      <c r="G1958" s="42">
        <v>50.379999999999995</v>
      </c>
      <c r="H1958">
        <v>5.0379999999999994E-2</v>
      </c>
      <c r="L1958" s="37">
        <f>IF(H1958&gt;30,QUOTIENT(H1958,30)*VLOOKUP(D1958,'报价表-配送'!$B$61:$I$65,8,0),0)+IF(AND(MOD(H1958,30)&gt;18,MOD(H1958,30)&lt;=30),1,0)*VLOOKUP(D1958,'报价表-配送'!$B$61:$I$65,8,0)+IF(AND(MOD(H1958,30)&gt;8,MOD(H1958,30)&lt;=18),1*VLOOKUP(D1958,'报价表-配送'!$B$61:$I$65,7,0),0)+IF(AND(MOD(H1958,30)&lt;=8,MOD(H1958,30)&gt;2.5),1,0)*VLOOKUP(D1958,'报价表-配送'!$B$61:$I$65,6,0)+IF(AND(MOD(H1958,30)&lt;=2.5,MOD(H1958,30)&gt;=1.5),1,0)*VLOOKUP(D1958,'报价表-配送'!$B$61:$I$65,5,0)</f>
        <v>0</v>
      </c>
      <c r="M1958" s="39">
        <f>IF(AND(MOD(H1958,30)&lt;1.5,MOD(H1958,30)&gt;=0.5),H1958,0)*VLOOKUP(D1958,'报价表-配送'!$B$61:$I$65,4,0)*1000+IF(AND(MOD(H1958,30)&lt;0.5,MOD(H1958,30)&gt;=0.02),H1958,0)*VLOOKUP(D1958,'报价表-配送'!$B$61:$I$65,3,0)*1000+IF(AND(MOD(H1958,30)&lt;0.02),H1958,0)*VLOOKUP(D1958,'报价表-配送'!$B$61:$I$65,2,0)*1000</f>
        <v>0</v>
      </c>
      <c r="N1958" s="38">
        <f t="shared" ref="N1958:N2027" si="30">SUM(I1958:M1958)</f>
        <v>0</v>
      </c>
    </row>
    <row r="1959" spans="1:14" x14ac:dyDescent="0.25">
      <c r="A1959" s="56" t="s">
        <v>241</v>
      </c>
      <c r="B1959" s="44" t="s">
        <v>173</v>
      </c>
      <c r="C1959" s="62">
        <f>VLOOKUP(B1959,合并仓明细!$D$2:$F$74,3,0)</f>
        <v>163</v>
      </c>
      <c r="D1959" t="s">
        <v>413</v>
      </c>
      <c r="E1959" s="43" t="s">
        <v>297</v>
      </c>
      <c r="F1959" t="s">
        <v>66</v>
      </c>
      <c r="G1959" s="42">
        <v>212.06</v>
      </c>
      <c r="H1959">
        <v>0.21206</v>
      </c>
      <c r="I1959" s="46"/>
      <c r="L1959" s="37">
        <f>IF(H1959&gt;30,QUOTIENT(H1959,30)*VLOOKUP(D1959,'报价表-配送'!$B$61:$I$65,8,0),0)+IF(AND(MOD(H1959,30)&gt;18,MOD(H1959,30)&lt;=30),1,0)*VLOOKUP(D1959,'报价表-配送'!$B$61:$I$65,8,0)+IF(AND(MOD(H1959,30)&gt;8,MOD(H1959,30)&lt;=18),1*VLOOKUP(D1959,'报价表-配送'!$B$61:$I$65,7,0),0)+IF(AND(MOD(H1959,30)&lt;=8,MOD(H1959,30)&gt;2.5),1,0)*VLOOKUP(D1959,'报价表-配送'!$B$61:$I$65,6,0)+IF(AND(MOD(H1959,30)&lt;=2.5,MOD(H1959,30)&gt;=1.5),1,0)*VLOOKUP(D1959,'报价表-配送'!$B$61:$I$65,5,0)</f>
        <v>0</v>
      </c>
      <c r="M1959" s="39">
        <f>IF(AND(MOD(H1959,30)&lt;1.5,MOD(H1959,30)&gt;=0.5),H1959,0)*VLOOKUP(D1959,'报价表-配送'!$B$61:$I$65,4,0)*1000+IF(AND(MOD(H1959,30)&lt;0.5,MOD(H1959,30)&gt;=0.02),H1959,0)*VLOOKUP(D1959,'报价表-配送'!$B$61:$I$65,3,0)*1000+IF(AND(MOD(H1959,30)&lt;0.02),H1959,0)*VLOOKUP(D1959,'报价表-配送'!$B$61:$I$65,2,0)*1000</f>
        <v>0</v>
      </c>
      <c r="N1959" s="38">
        <f t="shared" si="30"/>
        <v>0</v>
      </c>
    </row>
    <row r="1960" spans="1:14" x14ac:dyDescent="0.25">
      <c r="A1960" s="56" t="s">
        <v>241</v>
      </c>
      <c r="B1960" s="43" t="s">
        <v>173</v>
      </c>
      <c r="C1960" s="62">
        <f>VLOOKUP(B1960,合并仓明细!$D$2:$F$74,3,0)</f>
        <v>163</v>
      </c>
      <c r="D1960" t="s">
        <v>413</v>
      </c>
      <c r="E1960" s="43" t="s">
        <v>326</v>
      </c>
      <c r="F1960" t="s">
        <v>66</v>
      </c>
      <c r="G1960" s="42">
        <v>212.58999999999997</v>
      </c>
      <c r="H1960">
        <v>0.21258999999999997</v>
      </c>
      <c r="L1960" s="37">
        <f>IF(H1960&gt;30,QUOTIENT(H1960,30)*VLOOKUP(D1960,'报价表-配送'!$B$61:$I$65,8,0),0)+IF(AND(MOD(H1960,30)&gt;18,MOD(H1960,30)&lt;=30),1,0)*VLOOKUP(D1960,'报价表-配送'!$B$61:$I$65,8,0)+IF(AND(MOD(H1960,30)&gt;8,MOD(H1960,30)&lt;=18),1*VLOOKUP(D1960,'报价表-配送'!$B$61:$I$65,7,0),0)+IF(AND(MOD(H1960,30)&lt;=8,MOD(H1960,30)&gt;2.5),1,0)*VLOOKUP(D1960,'报价表-配送'!$B$61:$I$65,6,0)+IF(AND(MOD(H1960,30)&lt;=2.5,MOD(H1960,30)&gt;=1.5),1,0)*VLOOKUP(D1960,'报价表-配送'!$B$61:$I$65,5,0)</f>
        <v>0</v>
      </c>
      <c r="M1960" s="39">
        <f>IF(AND(MOD(H1960,30)&lt;1.5,MOD(H1960,30)&gt;=0.5),H1960,0)*VLOOKUP(D1960,'报价表-配送'!$B$61:$I$65,4,0)*1000+IF(AND(MOD(H1960,30)&lt;0.5,MOD(H1960,30)&gt;=0.02),H1960,0)*VLOOKUP(D1960,'报价表-配送'!$B$61:$I$65,3,0)*1000+IF(AND(MOD(H1960,30)&lt;0.02),H1960,0)*VLOOKUP(D1960,'报价表-配送'!$B$61:$I$65,2,0)*1000</f>
        <v>0</v>
      </c>
      <c r="N1960" s="38">
        <f t="shared" si="30"/>
        <v>0</v>
      </c>
    </row>
    <row r="1961" spans="1:14" x14ac:dyDescent="0.25">
      <c r="A1961" s="56" t="s">
        <v>241</v>
      </c>
      <c r="B1961" s="43" t="s">
        <v>173</v>
      </c>
      <c r="C1961" s="62">
        <f>VLOOKUP(B1961,合并仓明细!$D$2:$F$74,3,0)</f>
        <v>163</v>
      </c>
      <c r="D1961" t="s">
        <v>413</v>
      </c>
      <c r="E1961" s="43" t="s">
        <v>250</v>
      </c>
      <c r="F1961" t="s">
        <v>67</v>
      </c>
      <c r="G1961" s="42">
        <v>125.64</v>
      </c>
      <c r="H1961">
        <v>0.26640000000000008</v>
      </c>
      <c r="I1961" s="38">
        <f>IF(H1961&gt;30,QUOTIENT(H1961,30)*VLOOKUP(D1961,'报价表-配送'!$B$61:$I$65,8,0),0)+IF(AND(MOD(H1961,30)&gt;18,MOD(H1961,30)&lt;=30),1,0)*VLOOKUP(D1961,'报价表-配送'!$B$61:$I$65,8,0)</f>
        <v>0</v>
      </c>
      <c r="J1961" s="38">
        <f>IF(AND(MOD(H1961,30)&gt;8,MOD(H1961,30)&lt;=18),1*VLOOKUP(D1961,'报价表-配送'!$B$61:$I$65,7,0),0)</f>
        <v>0</v>
      </c>
      <c r="K1961" s="38">
        <f>IF(AND(MOD(H1961,30)&lt;=8,MOD(H1961,30)&gt;0),1,0)*VLOOKUP(D1961,'报价表-配送'!$B$61:$I$65,6,0)</f>
        <v>0</v>
      </c>
      <c r="N1961" s="38">
        <f t="shared" si="30"/>
        <v>0</v>
      </c>
    </row>
    <row r="1962" spans="1:14" x14ac:dyDescent="0.25">
      <c r="A1962" s="56" t="s">
        <v>241</v>
      </c>
      <c r="B1962" s="43" t="s">
        <v>173</v>
      </c>
      <c r="C1962" s="62">
        <f>VLOOKUP(B1962,合并仓明细!$D$2:$F$74,3,0)</f>
        <v>163</v>
      </c>
      <c r="D1962" t="s">
        <v>413</v>
      </c>
      <c r="E1962" s="43" t="s">
        <v>250</v>
      </c>
      <c r="F1962" t="s">
        <v>66</v>
      </c>
      <c r="G1962" s="42">
        <v>140.76000000000008</v>
      </c>
      <c r="H1962"/>
      <c r="N1962" s="38">
        <f t="shared" si="30"/>
        <v>0</v>
      </c>
    </row>
    <row r="1963" spans="1:14" x14ac:dyDescent="0.25">
      <c r="A1963" s="56" t="s">
        <v>241</v>
      </c>
      <c r="B1963" s="43" t="s">
        <v>173</v>
      </c>
      <c r="C1963" s="62">
        <f>VLOOKUP(B1963,合并仓明细!$D$2:$F$74,3,0)</f>
        <v>163</v>
      </c>
      <c r="D1963" t="s">
        <v>413</v>
      </c>
      <c r="E1963" s="44" t="s">
        <v>318</v>
      </c>
      <c r="F1963" t="s">
        <v>66</v>
      </c>
      <c r="G1963" s="42">
        <v>128.68</v>
      </c>
      <c r="H1963">
        <v>0.12868000000000002</v>
      </c>
      <c r="I1963" s="46"/>
      <c r="L1963" s="37">
        <f>IF(H1963&gt;30,QUOTIENT(H1963,30)*VLOOKUP(D1963,'报价表-配送'!$B$61:$I$65,8,0),0)+IF(AND(MOD(H1963,30)&gt;18,MOD(H1963,30)&lt;=30),1,0)*VLOOKUP(D1963,'报价表-配送'!$B$61:$I$65,8,0)+IF(AND(MOD(H1963,30)&gt;8,MOD(H1963,30)&lt;=18),1*VLOOKUP(D1963,'报价表-配送'!$B$61:$I$65,7,0),0)+IF(AND(MOD(H1963,30)&lt;=8,MOD(H1963,30)&gt;2.5),1,0)*VLOOKUP(D1963,'报价表-配送'!$B$61:$I$65,6,0)+IF(AND(MOD(H1963,30)&lt;=2.5,MOD(H1963,30)&gt;=1.5),1,0)*VLOOKUP(D1963,'报价表-配送'!$B$61:$I$65,5,0)</f>
        <v>0</v>
      </c>
      <c r="M1963" s="39">
        <f>IF(AND(MOD(H1963,30)&lt;1.5,MOD(H1963,30)&gt;=0.5),H1963,0)*VLOOKUP(D1963,'报价表-配送'!$B$61:$I$65,4,0)*1000+IF(AND(MOD(H1963,30)&lt;0.5,MOD(H1963,30)&gt;=0.02),H1963,0)*VLOOKUP(D1963,'报价表-配送'!$B$61:$I$65,3,0)*1000+IF(AND(MOD(H1963,30)&lt;0.02),H1963,0)*VLOOKUP(D1963,'报价表-配送'!$B$61:$I$65,2,0)*1000</f>
        <v>0</v>
      </c>
      <c r="N1963" s="38">
        <f t="shared" si="30"/>
        <v>0</v>
      </c>
    </row>
    <row r="1964" spans="1:14" x14ac:dyDescent="0.25">
      <c r="A1964" s="56" t="s">
        <v>241</v>
      </c>
      <c r="B1964" s="43" t="s">
        <v>173</v>
      </c>
      <c r="C1964" s="62">
        <f>VLOOKUP(B1964,合并仓明细!$D$2:$F$74,3,0)</f>
        <v>163</v>
      </c>
      <c r="D1964" t="s">
        <v>413</v>
      </c>
      <c r="E1964" s="43" t="s">
        <v>299</v>
      </c>
      <c r="F1964" t="s">
        <v>66</v>
      </c>
      <c r="G1964" s="42">
        <v>2604</v>
      </c>
      <c r="H1964">
        <v>2.6040000000000001</v>
      </c>
      <c r="L1964" s="37">
        <f>IF(H1964&gt;30,QUOTIENT(H1964,30)*VLOOKUP(D1964,'报价表-配送'!$B$61:$I$65,8,0),0)+IF(AND(MOD(H1964,30)&gt;18,MOD(H1964,30)&lt;=30),1,0)*VLOOKUP(D1964,'报价表-配送'!$B$61:$I$65,8,0)+IF(AND(MOD(H1964,30)&gt;8,MOD(H1964,30)&lt;=18),1*VLOOKUP(D1964,'报价表-配送'!$B$61:$I$65,7,0),0)+IF(AND(MOD(H1964,30)&lt;=8,MOD(H1964,30)&gt;2.5),1,0)*VLOOKUP(D1964,'报价表-配送'!$B$61:$I$65,6,0)+IF(AND(MOD(H1964,30)&lt;=2.5,MOD(H1964,30)&gt;=1.5),1,0)*VLOOKUP(D1964,'报价表-配送'!$B$61:$I$65,5,0)</f>
        <v>0</v>
      </c>
      <c r="M1964" s="39">
        <f>IF(AND(MOD(H1964,30)&lt;1.5,MOD(H1964,30)&gt;=0.5),H1964,0)*VLOOKUP(D1964,'报价表-配送'!$B$61:$I$65,4,0)*1000+IF(AND(MOD(H1964,30)&lt;0.5,MOD(H1964,30)&gt;=0.02),H1964,0)*VLOOKUP(D1964,'报价表-配送'!$B$61:$I$65,3,0)*1000+IF(AND(MOD(H1964,30)&lt;0.02),H1964,0)*VLOOKUP(D1964,'报价表-配送'!$B$61:$I$65,2,0)*1000</f>
        <v>0</v>
      </c>
      <c r="N1964" s="38">
        <f t="shared" si="30"/>
        <v>0</v>
      </c>
    </row>
    <row r="1965" spans="1:14" x14ac:dyDescent="0.25">
      <c r="A1965" s="56" t="s">
        <v>241</v>
      </c>
      <c r="B1965" s="43" t="s">
        <v>173</v>
      </c>
      <c r="C1965" s="62">
        <f>VLOOKUP(B1965,合并仓明细!$D$2:$F$74,3,0)</f>
        <v>163</v>
      </c>
      <c r="D1965" t="s">
        <v>413</v>
      </c>
      <c r="E1965" s="43" t="s">
        <v>327</v>
      </c>
      <c r="F1965" t="s">
        <v>66</v>
      </c>
      <c r="G1965" s="42">
        <v>467.55</v>
      </c>
      <c r="H1965">
        <v>0.46755000000000002</v>
      </c>
      <c r="L1965" s="37">
        <f>IF(H1965&gt;30,QUOTIENT(H1965,30)*VLOOKUP(D1965,'报价表-配送'!$B$61:$I$65,8,0),0)+IF(AND(MOD(H1965,30)&gt;18,MOD(H1965,30)&lt;=30),1,0)*VLOOKUP(D1965,'报价表-配送'!$B$61:$I$65,8,0)+IF(AND(MOD(H1965,30)&gt;8,MOD(H1965,30)&lt;=18),1*VLOOKUP(D1965,'报价表-配送'!$B$61:$I$65,7,0),0)+IF(AND(MOD(H1965,30)&lt;=8,MOD(H1965,30)&gt;2.5),1,0)*VLOOKUP(D1965,'报价表-配送'!$B$61:$I$65,6,0)+IF(AND(MOD(H1965,30)&lt;=2.5,MOD(H1965,30)&gt;=1.5),1,0)*VLOOKUP(D1965,'报价表-配送'!$B$61:$I$65,5,0)</f>
        <v>0</v>
      </c>
      <c r="M1965" s="39">
        <f>IF(AND(MOD(H1965,30)&lt;1.5,MOD(H1965,30)&gt;=0.5),H1965,0)*VLOOKUP(D1965,'报价表-配送'!$B$61:$I$65,4,0)*1000+IF(AND(MOD(H1965,30)&lt;0.5,MOD(H1965,30)&gt;=0.02),H1965,0)*VLOOKUP(D1965,'报价表-配送'!$B$61:$I$65,3,0)*1000+IF(AND(MOD(H1965,30)&lt;0.02),H1965,0)*VLOOKUP(D1965,'报价表-配送'!$B$61:$I$65,2,0)*1000</f>
        <v>0</v>
      </c>
      <c r="N1965" s="38">
        <f t="shared" si="30"/>
        <v>0</v>
      </c>
    </row>
    <row r="1966" spans="1:14" x14ac:dyDescent="0.25">
      <c r="A1966" s="56" t="s">
        <v>241</v>
      </c>
      <c r="B1966" s="43" t="s">
        <v>173</v>
      </c>
      <c r="C1966" s="62">
        <f>VLOOKUP(B1966,合并仓明细!$D$2:$F$74,3,0)</f>
        <v>163</v>
      </c>
      <c r="D1966" t="s">
        <v>413</v>
      </c>
      <c r="E1966" s="44" t="s">
        <v>319</v>
      </c>
      <c r="F1966" t="s">
        <v>66</v>
      </c>
      <c r="G1966" s="42">
        <v>1740.2300000000002</v>
      </c>
      <c r="H1966">
        <v>1.7402300000000002</v>
      </c>
      <c r="I1966" s="46"/>
      <c r="L1966" s="37">
        <f>IF(H1966&gt;30,QUOTIENT(H1966,30)*VLOOKUP(D1966,'报价表-配送'!$B$61:$I$65,8,0),0)+IF(AND(MOD(H1966,30)&gt;18,MOD(H1966,30)&lt;=30),1,0)*VLOOKUP(D1966,'报价表-配送'!$B$61:$I$65,8,0)+IF(AND(MOD(H1966,30)&gt;8,MOD(H1966,30)&lt;=18),1*VLOOKUP(D1966,'报价表-配送'!$B$61:$I$65,7,0),0)+IF(AND(MOD(H1966,30)&lt;=8,MOD(H1966,30)&gt;2.5),1,0)*VLOOKUP(D1966,'报价表-配送'!$B$61:$I$65,6,0)+IF(AND(MOD(H1966,30)&lt;=2.5,MOD(H1966,30)&gt;=1.5),1,0)*VLOOKUP(D1966,'报价表-配送'!$B$61:$I$65,5,0)</f>
        <v>0</v>
      </c>
      <c r="M1966" s="39">
        <f>IF(AND(MOD(H1966,30)&lt;1.5,MOD(H1966,30)&gt;=0.5),H1966,0)*VLOOKUP(D1966,'报价表-配送'!$B$61:$I$65,4,0)*1000+IF(AND(MOD(H1966,30)&lt;0.5,MOD(H1966,30)&gt;=0.02),H1966,0)*VLOOKUP(D1966,'报价表-配送'!$B$61:$I$65,3,0)*1000+IF(AND(MOD(H1966,30)&lt;0.02),H1966,0)*VLOOKUP(D1966,'报价表-配送'!$B$61:$I$65,2,0)*1000</f>
        <v>0</v>
      </c>
      <c r="N1966" s="38">
        <f t="shared" si="30"/>
        <v>0</v>
      </c>
    </row>
    <row r="1967" spans="1:14" x14ac:dyDescent="0.25">
      <c r="A1967" s="56" t="s">
        <v>241</v>
      </c>
      <c r="B1967" s="43" t="s">
        <v>173</v>
      </c>
      <c r="C1967" s="62">
        <f>VLOOKUP(B1967,合并仓明细!$D$2:$F$74,3,0)</f>
        <v>163</v>
      </c>
      <c r="D1967" t="s">
        <v>413</v>
      </c>
      <c r="E1967" s="43" t="s">
        <v>374</v>
      </c>
      <c r="F1967" t="s">
        <v>66</v>
      </c>
      <c r="G1967" s="42">
        <v>153.6</v>
      </c>
      <c r="H1967">
        <v>0.15359999999999999</v>
      </c>
      <c r="L1967" s="37">
        <f>IF(H1967&gt;30,QUOTIENT(H1967,30)*VLOOKUP(D1967,'报价表-配送'!$B$61:$I$65,8,0),0)+IF(AND(MOD(H1967,30)&gt;18,MOD(H1967,30)&lt;=30),1,0)*VLOOKUP(D1967,'报价表-配送'!$B$61:$I$65,8,0)+IF(AND(MOD(H1967,30)&gt;8,MOD(H1967,30)&lt;=18),1*VLOOKUP(D1967,'报价表-配送'!$B$61:$I$65,7,0),0)+IF(AND(MOD(H1967,30)&lt;=8,MOD(H1967,30)&gt;2.5),1,0)*VLOOKUP(D1967,'报价表-配送'!$B$61:$I$65,6,0)+IF(AND(MOD(H1967,30)&lt;=2.5,MOD(H1967,30)&gt;=1.5),1,0)*VLOOKUP(D1967,'报价表-配送'!$B$61:$I$65,5,0)</f>
        <v>0</v>
      </c>
      <c r="M1967" s="39">
        <f>IF(AND(MOD(H1967,30)&lt;1.5,MOD(H1967,30)&gt;=0.5),H1967,0)*VLOOKUP(D1967,'报价表-配送'!$B$61:$I$65,4,0)*1000+IF(AND(MOD(H1967,30)&lt;0.5,MOD(H1967,30)&gt;=0.02),H1967,0)*VLOOKUP(D1967,'报价表-配送'!$B$61:$I$65,3,0)*1000+IF(AND(MOD(H1967,30)&lt;0.02),H1967,0)*VLOOKUP(D1967,'报价表-配送'!$B$61:$I$65,2,0)*1000</f>
        <v>0</v>
      </c>
      <c r="N1967" s="38">
        <f t="shared" si="30"/>
        <v>0</v>
      </c>
    </row>
    <row r="1968" spans="1:14" x14ac:dyDescent="0.25">
      <c r="A1968" s="56" t="s">
        <v>241</v>
      </c>
      <c r="B1968" s="43" t="s">
        <v>173</v>
      </c>
      <c r="C1968" s="62">
        <f>VLOOKUP(B1968,合并仓明细!$D$2:$F$74,3,0)</f>
        <v>163</v>
      </c>
      <c r="D1968" t="s">
        <v>413</v>
      </c>
      <c r="E1968" s="43" t="s">
        <v>300</v>
      </c>
      <c r="F1968" t="s">
        <v>66</v>
      </c>
      <c r="G1968" s="42">
        <v>46.01</v>
      </c>
      <c r="H1968">
        <v>4.6009999999999995E-2</v>
      </c>
      <c r="L1968" s="37">
        <f>IF(H1968&gt;30,QUOTIENT(H1968,30)*VLOOKUP(D1968,'报价表-配送'!$B$61:$I$65,8,0),0)+IF(AND(MOD(H1968,30)&gt;18,MOD(H1968,30)&lt;=30),1,0)*VLOOKUP(D1968,'报价表-配送'!$B$61:$I$65,8,0)+IF(AND(MOD(H1968,30)&gt;8,MOD(H1968,30)&lt;=18),1*VLOOKUP(D1968,'报价表-配送'!$B$61:$I$65,7,0),0)+IF(AND(MOD(H1968,30)&lt;=8,MOD(H1968,30)&gt;2.5),1,0)*VLOOKUP(D1968,'报价表-配送'!$B$61:$I$65,6,0)+IF(AND(MOD(H1968,30)&lt;=2.5,MOD(H1968,30)&gt;=1.5),1,0)*VLOOKUP(D1968,'报价表-配送'!$B$61:$I$65,5,0)</f>
        <v>0</v>
      </c>
      <c r="M1968" s="39">
        <f>IF(AND(MOD(H1968,30)&lt;1.5,MOD(H1968,30)&gt;=0.5),H1968,0)*VLOOKUP(D1968,'报价表-配送'!$B$61:$I$65,4,0)*1000+IF(AND(MOD(H1968,30)&lt;0.5,MOD(H1968,30)&gt;=0.02),H1968,0)*VLOOKUP(D1968,'报价表-配送'!$B$61:$I$65,3,0)*1000+IF(AND(MOD(H1968,30)&lt;0.02),H1968,0)*VLOOKUP(D1968,'报价表-配送'!$B$61:$I$65,2,0)*1000</f>
        <v>0</v>
      </c>
      <c r="N1968" s="38">
        <f t="shared" si="30"/>
        <v>0</v>
      </c>
    </row>
    <row r="1969" spans="1:14" x14ac:dyDescent="0.25">
      <c r="A1969" s="56" t="s">
        <v>241</v>
      </c>
      <c r="B1969" s="43" t="s">
        <v>173</v>
      </c>
      <c r="C1969" s="62">
        <f>VLOOKUP(B1969,合并仓明细!$D$2:$F$74,3,0)</f>
        <v>163</v>
      </c>
      <c r="D1969" t="s">
        <v>413</v>
      </c>
      <c r="E1969" s="43" t="s">
        <v>301</v>
      </c>
      <c r="F1969" t="s">
        <v>68</v>
      </c>
      <c r="G1969" s="42">
        <v>735.32</v>
      </c>
      <c r="H1969">
        <v>6.2654399999999999</v>
      </c>
      <c r="I1969" s="46">
        <f>ROUNDUP(H1969/30,0)*VLOOKUP(D1969,'报价表-配送'!$B$61:$I$65,8,0)</f>
        <v>0</v>
      </c>
      <c r="N1969" s="38">
        <f t="shared" si="30"/>
        <v>0</v>
      </c>
    </row>
    <row r="1970" spans="1:14" x14ac:dyDescent="0.25">
      <c r="A1970" s="56" t="s">
        <v>241</v>
      </c>
      <c r="B1970" s="43" t="s">
        <v>173</v>
      </c>
      <c r="C1970" s="62">
        <f>VLOOKUP(B1970,合并仓明细!$D$2:$F$74,3,0)</f>
        <v>163</v>
      </c>
      <c r="D1970" t="s">
        <v>413</v>
      </c>
      <c r="E1970" s="43" t="s">
        <v>301</v>
      </c>
      <c r="F1970" t="s">
        <v>67</v>
      </c>
      <c r="G1970" s="42">
        <v>5201.4799999999996</v>
      </c>
      <c r="H1970"/>
      <c r="I1970" s="46"/>
      <c r="N1970" s="38">
        <f t="shared" si="30"/>
        <v>0</v>
      </c>
    </row>
    <row r="1971" spans="1:14" x14ac:dyDescent="0.25">
      <c r="A1971" s="56" t="s">
        <v>241</v>
      </c>
      <c r="B1971" s="43" t="s">
        <v>173</v>
      </c>
      <c r="C1971" s="62">
        <f>VLOOKUP(B1971,合并仓明细!$D$2:$F$74,3,0)</f>
        <v>163</v>
      </c>
      <c r="D1971" t="s">
        <v>413</v>
      </c>
      <c r="E1971" s="43" t="s">
        <v>301</v>
      </c>
      <c r="F1971" t="s">
        <v>66</v>
      </c>
      <c r="G1971" s="42">
        <v>328.64000000000004</v>
      </c>
      <c r="H1971"/>
      <c r="N1971" s="38">
        <f t="shared" si="30"/>
        <v>0</v>
      </c>
    </row>
    <row r="1972" spans="1:14" x14ac:dyDescent="0.25">
      <c r="A1972" s="56" t="s">
        <v>241</v>
      </c>
      <c r="B1972" s="43" t="s">
        <v>173</v>
      </c>
      <c r="C1972" s="62">
        <f>VLOOKUP(B1972,合并仓明细!$D$2:$F$74,3,0)</f>
        <v>163</v>
      </c>
      <c r="D1972" t="s">
        <v>413</v>
      </c>
      <c r="E1972" s="43" t="s">
        <v>251</v>
      </c>
      <c r="F1972" t="s">
        <v>66</v>
      </c>
      <c r="G1972" s="42">
        <v>1.06</v>
      </c>
      <c r="H1972">
        <v>1.06E-3</v>
      </c>
      <c r="L1972" s="37">
        <f>IF(H1972&gt;30,QUOTIENT(H1972,30)*VLOOKUP(D1972,'报价表-配送'!$B$61:$I$65,8,0),0)+IF(AND(MOD(H1972,30)&gt;18,MOD(H1972,30)&lt;=30),1,0)*VLOOKUP(D1972,'报价表-配送'!$B$61:$I$65,8,0)+IF(AND(MOD(H1972,30)&gt;8,MOD(H1972,30)&lt;=18),1*VLOOKUP(D1972,'报价表-配送'!$B$61:$I$65,7,0),0)+IF(AND(MOD(H1972,30)&lt;=8,MOD(H1972,30)&gt;2.5),1,0)*VLOOKUP(D1972,'报价表-配送'!$B$61:$I$65,6,0)+IF(AND(MOD(H1972,30)&lt;=2.5,MOD(H1972,30)&gt;=1.5),1,0)*VLOOKUP(D1972,'报价表-配送'!$B$61:$I$65,5,0)</f>
        <v>0</v>
      </c>
      <c r="M1972" s="39">
        <f>IF(AND(MOD(H1972,30)&lt;1.5,MOD(H1972,30)&gt;=0.5),H1972,0)*VLOOKUP(D1972,'报价表-配送'!$B$61:$I$65,4,0)*1000+IF(AND(MOD(H1972,30)&lt;0.5,MOD(H1972,30)&gt;=0.02),H1972,0)*VLOOKUP(D1972,'报价表-配送'!$B$61:$I$65,3,0)*1000+IF(AND(MOD(H1972,30)&lt;0.02),H1972,0)*VLOOKUP(D1972,'报价表-配送'!$B$61:$I$65,2,0)*1000</f>
        <v>0</v>
      </c>
      <c r="N1972" s="38">
        <f t="shared" si="30"/>
        <v>0</v>
      </c>
    </row>
    <row r="1973" spans="1:14" x14ac:dyDescent="0.25">
      <c r="A1973" s="56" t="s">
        <v>241</v>
      </c>
      <c r="B1973" s="43" t="s">
        <v>173</v>
      </c>
      <c r="C1973" s="62">
        <f>VLOOKUP(B1973,合并仓明细!$D$2:$F$74,3,0)</f>
        <v>163</v>
      </c>
      <c r="D1973" t="s">
        <v>413</v>
      </c>
      <c r="E1973" s="44" t="s">
        <v>355</v>
      </c>
      <c r="F1973" t="s">
        <v>66</v>
      </c>
      <c r="G1973" s="42">
        <v>0.69</v>
      </c>
      <c r="H1973">
        <v>6.8999999999999997E-4</v>
      </c>
      <c r="I1973" s="38"/>
      <c r="J1973" s="38"/>
      <c r="K1973" s="38"/>
      <c r="L1973" s="37">
        <f>IF(H1973&gt;30,QUOTIENT(H1973,30)*VLOOKUP(D1973,'报价表-配送'!$B$61:$I$65,8,0),0)+IF(AND(MOD(H1973,30)&gt;18,MOD(H1973,30)&lt;=30),1,0)*VLOOKUP(D1973,'报价表-配送'!$B$61:$I$65,8,0)+IF(AND(MOD(H1973,30)&gt;8,MOD(H1973,30)&lt;=18),1*VLOOKUP(D1973,'报价表-配送'!$B$61:$I$65,7,0),0)+IF(AND(MOD(H1973,30)&lt;=8,MOD(H1973,30)&gt;2.5),1,0)*VLOOKUP(D1973,'报价表-配送'!$B$61:$I$65,6,0)+IF(AND(MOD(H1973,30)&lt;=2.5,MOD(H1973,30)&gt;=1.5),1,0)*VLOOKUP(D1973,'报价表-配送'!$B$61:$I$65,5,0)</f>
        <v>0</v>
      </c>
      <c r="M1973" s="39">
        <f>IF(AND(MOD(H1973,30)&lt;1.5,MOD(H1973,30)&gt;=0.5),H1973,0)*VLOOKUP(D1973,'报价表-配送'!$B$61:$I$65,4,0)*1000+IF(AND(MOD(H1973,30)&lt;0.5,MOD(H1973,30)&gt;=0.02),H1973,0)*VLOOKUP(D1973,'报价表-配送'!$B$61:$I$65,3,0)*1000+IF(AND(MOD(H1973,30)&lt;0.02),H1973,0)*VLOOKUP(D1973,'报价表-配送'!$B$61:$I$65,2,0)*1000</f>
        <v>0</v>
      </c>
      <c r="N1973" s="38">
        <f t="shared" si="30"/>
        <v>0</v>
      </c>
    </row>
    <row r="1974" spans="1:14" x14ac:dyDescent="0.25">
      <c r="A1974" s="56" t="s">
        <v>241</v>
      </c>
      <c r="B1974" s="43" t="s">
        <v>173</v>
      </c>
      <c r="C1974" s="62">
        <f>VLOOKUP(B1974,合并仓明细!$D$2:$F$74,3,0)</f>
        <v>163</v>
      </c>
      <c r="D1974" t="s">
        <v>413</v>
      </c>
      <c r="E1974" s="43" t="s">
        <v>252</v>
      </c>
      <c r="F1974" t="s">
        <v>68</v>
      </c>
      <c r="G1974" s="42">
        <v>2152.7200000000003</v>
      </c>
      <c r="H1974">
        <v>7.8844400000000006</v>
      </c>
      <c r="I1974" s="46">
        <f>ROUNDUP(H1974/30,0)*VLOOKUP(D1974,'报价表-配送'!$B$61:$I$65,8,0)</f>
        <v>0</v>
      </c>
      <c r="N1974" s="38">
        <f t="shared" si="30"/>
        <v>0</v>
      </c>
    </row>
    <row r="1975" spans="1:14" x14ac:dyDescent="0.25">
      <c r="A1975" s="56" t="s">
        <v>241</v>
      </c>
      <c r="B1975" s="43" t="s">
        <v>173</v>
      </c>
      <c r="C1975" s="62">
        <f>VLOOKUP(B1975,合并仓明细!$D$2:$F$74,3,0)</f>
        <v>163</v>
      </c>
      <c r="D1975" t="s">
        <v>413</v>
      </c>
      <c r="E1975" s="44" t="s">
        <v>252</v>
      </c>
      <c r="F1975" t="s">
        <v>67</v>
      </c>
      <c r="G1975" s="42">
        <v>5111.3899999999994</v>
      </c>
      <c r="H1975"/>
      <c r="I1975" s="38"/>
      <c r="J1975" s="38"/>
      <c r="K1975" s="38"/>
      <c r="L1975" s="57"/>
      <c r="M1975" s="37"/>
      <c r="N1975" s="38">
        <f t="shared" si="30"/>
        <v>0</v>
      </c>
    </row>
    <row r="1976" spans="1:14" x14ac:dyDescent="0.25">
      <c r="A1976" s="56" t="s">
        <v>241</v>
      </c>
      <c r="B1976" s="43" t="s">
        <v>173</v>
      </c>
      <c r="C1976" s="62">
        <f>VLOOKUP(B1976,合并仓明细!$D$2:$F$74,3,0)</f>
        <v>163</v>
      </c>
      <c r="D1976" t="s">
        <v>413</v>
      </c>
      <c r="E1976" s="43" t="s">
        <v>252</v>
      </c>
      <c r="F1976" t="s">
        <v>66</v>
      </c>
      <c r="G1976" s="42">
        <v>620.33000000000038</v>
      </c>
      <c r="H1976"/>
      <c r="N1976" s="38">
        <f t="shared" si="30"/>
        <v>0</v>
      </c>
    </row>
    <row r="1977" spans="1:14" x14ac:dyDescent="0.25">
      <c r="A1977" s="56" t="s">
        <v>241</v>
      </c>
      <c r="B1977" s="43" t="s">
        <v>173</v>
      </c>
      <c r="C1977" s="62">
        <f>VLOOKUP(B1977,合并仓明细!$D$2:$F$74,3,0)</f>
        <v>163</v>
      </c>
      <c r="D1977" t="s">
        <v>413</v>
      </c>
      <c r="E1977" s="44" t="s">
        <v>304</v>
      </c>
      <c r="F1977" t="s">
        <v>66</v>
      </c>
      <c r="G1977" s="42">
        <v>651</v>
      </c>
      <c r="H1977">
        <v>0.65100000000000002</v>
      </c>
      <c r="I1977" s="38"/>
      <c r="J1977" s="38"/>
      <c r="K1977" s="38"/>
      <c r="L1977" s="37">
        <f>IF(H1977&gt;30,QUOTIENT(H1977,30)*VLOOKUP(D1977,'报价表-配送'!$B$61:$I$65,8,0),0)+IF(AND(MOD(H1977,30)&gt;18,MOD(H1977,30)&lt;=30),1,0)*VLOOKUP(D1977,'报价表-配送'!$B$61:$I$65,8,0)+IF(AND(MOD(H1977,30)&gt;8,MOD(H1977,30)&lt;=18),1*VLOOKUP(D1977,'报价表-配送'!$B$61:$I$65,7,0),0)+IF(AND(MOD(H1977,30)&lt;=8,MOD(H1977,30)&gt;2.5),1,0)*VLOOKUP(D1977,'报价表-配送'!$B$61:$I$65,6,0)+IF(AND(MOD(H1977,30)&lt;=2.5,MOD(H1977,30)&gt;=1.5),1,0)*VLOOKUP(D1977,'报价表-配送'!$B$61:$I$65,5,0)</f>
        <v>0</v>
      </c>
      <c r="M1977" s="39">
        <f>IF(AND(MOD(H1977,30)&lt;1.5,MOD(H1977,30)&gt;=0.5),H1977,0)*VLOOKUP(D1977,'报价表-配送'!$B$61:$I$65,4,0)*1000+IF(AND(MOD(H1977,30)&lt;0.5,MOD(H1977,30)&gt;=0.02),H1977,0)*VLOOKUP(D1977,'报价表-配送'!$B$61:$I$65,3,0)*1000+IF(AND(MOD(H1977,30)&lt;0.02),H1977,0)*VLOOKUP(D1977,'报价表-配送'!$B$61:$I$65,2,0)*1000</f>
        <v>0</v>
      </c>
      <c r="N1977" s="38">
        <f t="shared" si="30"/>
        <v>0</v>
      </c>
    </row>
    <row r="1978" spans="1:14" x14ac:dyDescent="0.25">
      <c r="A1978" s="56" t="s">
        <v>241</v>
      </c>
      <c r="B1978" s="43" t="s">
        <v>173</v>
      </c>
      <c r="C1978" s="62">
        <f>VLOOKUP(B1978,合并仓明细!$D$2:$F$74,3,0)</f>
        <v>163</v>
      </c>
      <c r="D1978" t="s">
        <v>413</v>
      </c>
      <c r="E1978" s="43" t="s">
        <v>356</v>
      </c>
      <c r="F1978" t="s">
        <v>66</v>
      </c>
      <c r="G1978" s="42">
        <v>6.5200000000000005</v>
      </c>
      <c r="H1978">
        <v>6.5200000000000006E-3</v>
      </c>
      <c r="L1978" s="37">
        <f>IF(H1978&gt;30,QUOTIENT(H1978,30)*VLOOKUP(D1978,'报价表-配送'!$B$61:$I$65,8,0),0)+IF(AND(MOD(H1978,30)&gt;18,MOD(H1978,30)&lt;=30),1,0)*VLOOKUP(D1978,'报价表-配送'!$B$61:$I$65,8,0)+IF(AND(MOD(H1978,30)&gt;8,MOD(H1978,30)&lt;=18),1*VLOOKUP(D1978,'报价表-配送'!$B$61:$I$65,7,0),0)+IF(AND(MOD(H1978,30)&lt;=8,MOD(H1978,30)&gt;2.5),1,0)*VLOOKUP(D1978,'报价表-配送'!$B$61:$I$65,6,0)+IF(AND(MOD(H1978,30)&lt;=2.5,MOD(H1978,30)&gt;=1.5),1,0)*VLOOKUP(D1978,'报价表-配送'!$B$61:$I$65,5,0)</f>
        <v>0</v>
      </c>
      <c r="M1978" s="39">
        <f>IF(AND(MOD(H1978,30)&lt;1.5,MOD(H1978,30)&gt;=0.5),H1978,0)*VLOOKUP(D1978,'报价表-配送'!$B$61:$I$65,4,0)*1000+IF(AND(MOD(H1978,30)&lt;0.5,MOD(H1978,30)&gt;=0.02),H1978,0)*VLOOKUP(D1978,'报价表-配送'!$B$61:$I$65,3,0)*1000+IF(AND(MOD(H1978,30)&lt;0.02),H1978,0)*VLOOKUP(D1978,'报价表-配送'!$B$61:$I$65,2,0)*1000</f>
        <v>0</v>
      </c>
      <c r="N1978" s="38">
        <f t="shared" si="30"/>
        <v>0</v>
      </c>
    </row>
    <row r="1979" spans="1:14" x14ac:dyDescent="0.25">
      <c r="A1979" s="56" t="s">
        <v>241</v>
      </c>
      <c r="B1979" s="43" t="s">
        <v>173</v>
      </c>
      <c r="C1979" s="62">
        <f>VLOOKUP(B1979,合并仓明细!$D$2:$F$74,3,0)</f>
        <v>163</v>
      </c>
      <c r="D1979" t="s">
        <v>413</v>
      </c>
      <c r="E1979" s="44" t="s">
        <v>331</v>
      </c>
      <c r="F1979" t="s">
        <v>66</v>
      </c>
      <c r="G1979" s="42">
        <v>13.86</v>
      </c>
      <c r="H1979">
        <v>1.3859999999999999E-2</v>
      </c>
      <c r="I1979" s="46"/>
      <c r="L1979" s="37">
        <f>IF(H1979&gt;30,QUOTIENT(H1979,30)*VLOOKUP(D1979,'报价表-配送'!$B$61:$I$65,8,0),0)+IF(AND(MOD(H1979,30)&gt;18,MOD(H1979,30)&lt;=30),1,0)*VLOOKUP(D1979,'报价表-配送'!$B$61:$I$65,8,0)+IF(AND(MOD(H1979,30)&gt;8,MOD(H1979,30)&lt;=18),1*VLOOKUP(D1979,'报价表-配送'!$B$61:$I$65,7,0),0)+IF(AND(MOD(H1979,30)&lt;=8,MOD(H1979,30)&gt;2.5),1,0)*VLOOKUP(D1979,'报价表-配送'!$B$61:$I$65,6,0)+IF(AND(MOD(H1979,30)&lt;=2.5,MOD(H1979,30)&gt;=1.5),1,0)*VLOOKUP(D1979,'报价表-配送'!$B$61:$I$65,5,0)</f>
        <v>0</v>
      </c>
      <c r="M1979" s="39">
        <f>IF(AND(MOD(H1979,30)&lt;1.5,MOD(H1979,30)&gt;=0.5),H1979,0)*VLOOKUP(D1979,'报价表-配送'!$B$61:$I$65,4,0)*1000+IF(AND(MOD(H1979,30)&lt;0.5,MOD(H1979,30)&gt;=0.02),H1979,0)*VLOOKUP(D1979,'报价表-配送'!$B$61:$I$65,3,0)*1000+IF(AND(MOD(H1979,30)&lt;0.02),H1979,0)*VLOOKUP(D1979,'报价表-配送'!$B$61:$I$65,2,0)*1000</f>
        <v>0</v>
      </c>
      <c r="N1979" s="38">
        <f t="shared" si="30"/>
        <v>0</v>
      </c>
    </row>
    <row r="1980" spans="1:14" x14ac:dyDescent="0.25">
      <c r="A1980" s="56" t="s">
        <v>241</v>
      </c>
      <c r="B1980" s="43" t="s">
        <v>173</v>
      </c>
      <c r="C1980" s="62">
        <f>VLOOKUP(B1980,合并仓明细!$D$2:$F$74,3,0)</f>
        <v>163</v>
      </c>
      <c r="D1980" t="s">
        <v>413</v>
      </c>
      <c r="E1980" s="43" t="s">
        <v>328</v>
      </c>
      <c r="F1980" t="s">
        <v>66</v>
      </c>
      <c r="G1980" s="42">
        <v>18.5</v>
      </c>
      <c r="H1980">
        <v>1.8499999999999999E-2</v>
      </c>
      <c r="L1980" s="37">
        <f>IF(H1980&gt;30,QUOTIENT(H1980,30)*VLOOKUP(D1980,'报价表-配送'!$B$61:$I$65,8,0),0)+IF(AND(MOD(H1980,30)&gt;18,MOD(H1980,30)&lt;=30),1,0)*VLOOKUP(D1980,'报价表-配送'!$B$61:$I$65,8,0)+IF(AND(MOD(H1980,30)&gt;8,MOD(H1980,30)&lt;=18),1*VLOOKUP(D1980,'报价表-配送'!$B$61:$I$65,7,0),0)+IF(AND(MOD(H1980,30)&lt;=8,MOD(H1980,30)&gt;2.5),1,0)*VLOOKUP(D1980,'报价表-配送'!$B$61:$I$65,6,0)+IF(AND(MOD(H1980,30)&lt;=2.5,MOD(H1980,30)&gt;=1.5),1,0)*VLOOKUP(D1980,'报价表-配送'!$B$61:$I$65,5,0)</f>
        <v>0</v>
      </c>
      <c r="M1980" s="39">
        <f>IF(AND(MOD(H1980,30)&lt;1.5,MOD(H1980,30)&gt;=0.5),H1980,0)*VLOOKUP(D1980,'报价表-配送'!$B$61:$I$65,4,0)*1000+IF(AND(MOD(H1980,30)&lt;0.5,MOD(H1980,30)&gt;=0.02),H1980,0)*VLOOKUP(D1980,'报价表-配送'!$B$61:$I$65,3,0)*1000+IF(AND(MOD(H1980,30)&lt;0.02),H1980,0)*VLOOKUP(D1980,'报价表-配送'!$B$61:$I$65,2,0)*1000</f>
        <v>0</v>
      </c>
      <c r="N1980" s="38">
        <f t="shared" si="30"/>
        <v>0</v>
      </c>
    </row>
    <row r="1981" spans="1:14" x14ac:dyDescent="0.25">
      <c r="A1981" s="56" t="s">
        <v>241</v>
      </c>
      <c r="B1981" s="43" t="s">
        <v>173</v>
      </c>
      <c r="C1981" s="62">
        <f>VLOOKUP(B1981,合并仓明细!$D$2:$F$74,3,0)</f>
        <v>163</v>
      </c>
      <c r="D1981" t="s">
        <v>413</v>
      </c>
      <c r="E1981" s="43" t="s">
        <v>305</v>
      </c>
      <c r="F1981" t="s">
        <v>67</v>
      </c>
      <c r="G1981" s="42">
        <v>8207.86</v>
      </c>
      <c r="H1981">
        <v>8.2078600000000002</v>
      </c>
      <c r="I1981" s="38">
        <f>IF(H1981&gt;30,QUOTIENT(H1981,30)*VLOOKUP(D1981,'报价表-配送'!$B$61:$I$65,8,0),0)+IF(AND(MOD(H1981,30)&gt;18,MOD(H1981,30)&lt;=30),1,0)*VLOOKUP(D1981,'报价表-配送'!$B$61:$I$65,8,0)</f>
        <v>0</v>
      </c>
      <c r="J1981" s="38">
        <f>IF(AND(MOD(H1981,30)&gt;8,MOD(H1981,30)&lt;=18),1*VLOOKUP(D1981,'报价表-配送'!$B$61:$I$65,7,0),0)</f>
        <v>0</v>
      </c>
      <c r="K1981" s="38">
        <f>IF(AND(MOD(H1981,30)&lt;=8,MOD(H1981,30)&gt;0),1,0)*VLOOKUP(D1981,'报价表-配送'!$B$61:$I$65,6,0)</f>
        <v>0</v>
      </c>
      <c r="N1981" s="38">
        <f t="shared" si="30"/>
        <v>0</v>
      </c>
    </row>
    <row r="1982" spans="1:14" x14ac:dyDescent="0.25">
      <c r="A1982" s="56" t="s">
        <v>241</v>
      </c>
      <c r="B1982" s="43" t="s">
        <v>173</v>
      </c>
      <c r="C1982" s="62">
        <f>VLOOKUP(B1982,合并仓明细!$D$2:$F$74,3,0)</f>
        <v>163</v>
      </c>
      <c r="D1982" t="s">
        <v>413</v>
      </c>
      <c r="E1982" s="43" t="s">
        <v>367</v>
      </c>
      <c r="F1982" t="s">
        <v>66</v>
      </c>
      <c r="G1982" s="42">
        <v>76.8</v>
      </c>
      <c r="H1982">
        <v>7.6799999999999993E-2</v>
      </c>
      <c r="I1982" s="46"/>
      <c r="L1982" s="37">
        <f>IF(H1982&gt;30,QUOTIENT(H1982,30)*VLOOKUP(D1982,'报价表-配送'!$B$61:$I$65,8,0),0)+IF(AND(MOD(H1982,30)&gt;18,MOD(H1982,30)&lt;=30),1,0)*VLOOKUP(D1982,'报价表-配送'!$B$61:$I$65,8,0)+IF(AND(MOD(H1982,30)&gt;8,MOD(H1982,30)&lt;=18),1*VLOOKUP(D1982,'报价表-配送'!$B$61:$I$65,7,0),0)+IF(AND(MOD(H1982,30)&lt;=8,MOD(H1982,30)&gt;2.5),1,0)*VLOOKUP(D1982,'报价表-配送'!$B$61:$I$65,6,0)+IF(AND(MOD(H1982,30)&lt;=2.5,MOD(H1982,30)&gt;=1.5),1,0)*VLOOKUP(D1982,'报价表-配送'!$B$61:$I$65,5,0)</f>
        <v>0</v>
      </c>
      <c r="M1982" s="39">
        <f>IF(AND(MOD(H1982,30)&lt;1.5,MOD(H1982,30)&gt;=0.5),H1982,0)*VLOOKUP(D1982,'报价表-配送'!$B$61:$I$65,4,0)*1000+IF(AND(MOD(H1982,30)&lt;0.5,MOD(H1982,30)&gt;=0.02),H1982,0)*VLOOKUP(D1982,'报价表-配送'!$B$61:$I$65,3,0)*1000+IF(AND(MOD(H1982,30)&lt;0.02),H1982,0)*VLOOKUP(D1982,'报价表-配送'!$B$61:$I$65,2,0)*1000</f>
        <v>0</v>
      </c>
      <c r="N1982" s="38">
        <f t="shared" si="30"/>
        <v>0</v>
      </c>
    </row>
    <row r="1983" spans="1:14" x14ac:dyDescent="0.25">
      <c r="A1983" s="117" t="s">
        <v>241</v>
      </c>
      <c r="B1983" s="106" t="s">
        <v>173</v>
      </c>
      <c r="C1983" s="62">
        <f>VLOOKUP(B1983,合并仓明细!$D$2:$F$74,3,0)</f>
        <v>163</v>
      </c>
      <c r="D1983" s="103" t="s">
        <v>529</v>
      </c>
      <c r="E1983" s="106" t="s">
        <v>367</v>
      </c>
      <c r="F1983" s="103" t="s">
        <v>67</v>
      </c>
      <c r="G1983" s="111">
        <v>39000</v>
      </c>
      <c r="H1983">
        <v>39</v>
      </c>
      <c r="I1983" s="38">
        <f>IF(H1983&gt;30,QUOTIENT(H1983,30)*VLOOKUP(D1983,'报价表-配送'!$B$61:$I$65,8,0),0)+IF(AND(MOD(H1983,30)&gt;18,MOD(H1983,30)&lt;=30),1,0)*VLOOKUP(D1983,'报价表-配送'!$B$61:$I$65,8,0)</f>
        <v>0</v>
      </c>
      <c r="J1983" s="38">
        <f>IF(AND(MOD(H1983,30)&gt;8,MOD(H1983,30)&lt;=18),1*VLOOKUP(D1983,'报价表-配送'!$B$61:$I$65,7,0),0)</f>
        <v>0</v>
      </c>
      <c r="K1983" s="38">
        <f>IF(AND(MOD(H1983,30)&lt;=8,MOD(H1983,30)&gt;0),1,0)*VLOOKUP(D1983,'报价表-配送'!$B$61:$I$65,6,0)</f>
        <v>0</v>
      </c>
      <c r="L1983" s="37"/>
      <c r="M1983" s="39"/>
      <c r="N1983" s="38">
        <f t="shared" si="30"/>
        <v>0</v>
      </c>
    </row>
    <row r="1984" spans="1:14" x14ac:dyDescent="0.25">
      <c r="A1984" s="117" t="s">
        <v>241</v>
      </c>
      <c r="B1984" s="106" t="s">
        <v>173</v>
      </c>
      <c r="C1984" s="62">
        <f>VLOOKUP(B1984,合并仓明细!$D$2:$F$74,3,0)</f>
        <v>163</v>
      </c>
      <c r="D1984" s="103" t="s">
        <v>529</v>
      </c>
      <c r="E1984" s="106" t="s">
        <v>367</v>
      </c>
      <c r="F1984" s="103" t="s">
        <v>67</v>
      </c>
      <c r="G1984" s="111">
        <v>8000</v>
      </c>
      <c r="H1984">
        <v>8</v>
      </c>
      <c r="I1984" s="38">
        <f>IF(H1984&gt;30,QUOTIENT(H1984,30)*VLOOKUP(D1984,'报价表-配送'!$B$61:$I$65,8,0),0)+IF(AND(MOD(H1984,30)&gt;18,MOD(H1984,30)&lt;=30),1,0)*VLOOKUP(D1984,'报价表-配送'!$B$61:$I$65,8,0)</f>
        <v>0</v>
      </c>
      <c r="J1984" s="38">
        <f>IF(AND(MOD(H1984,30)&gt;8,MOD(H1984,30)&lt;=18),1*VLOOKUP(D1984,'报价表-配送'!$B$61:$I$65,7,0),0)</f>
        <v>0</v>
      </c>
      <c r="K1984" s="38">
        <f>IF(AND(MOD(H1984,30)&lt;=8,MOD(H1984,30)&gt;0),1,0)*VLOOKUP(D1984,'报价表-配送'!$B$61:$I$65,6,0)</f>
        <v>0</v>
      </c>
      <c r="L1984" s="37"/>
      <c r="M1984" s="39"/>
      <c r="N1984" s="38">
        <f t="shared" si="30"/>
        <v>0</v>
      </c>
    </row>
    <row r="1985" spans="1:14" x14ac:dyDescent="0.25">
      <c r="A1985" s="117" t="s">
        <v>241</v>
      </c>
      <c r="B1985" s="106" t="s">
        <v>173</v>
      </c>
      <c r="C1985" s="62">
        <f>VLOOKUP(B1985,合并仓明细!$D$2:$F$74,3,0)</f>
        <v>163</v>
      </c>
      <c r="D1985" s="103" t="s">
        <v>529</v>
      </c>
      <c r="E1985" s="106" t="s">
        <v>367</v>
      </c>
      <c r="F1985" s="103" t="s">
        <v>66</v>
      </c>
      <c r="G1985" s="111">
        <v>2500</v>
      </c>
      <c r="H1985">
        <v>2.5</v>
      </c>
      <c r="I1985" s="46"/>
      <c r="L1985" s="37">
        <f>IF(H1985&gt;30,QUOTIENT(H1985,30)*VLOOKUP(D1985,'报价表-配送'!$B$61:$I$65,8,0),0)+IF(AND(MOD(H1985,30)&gt;18,MOD(H1985,30)&lt;=30),1,0)*VLOOKUP(D1985,'报价表-配送'!$B$61:$I$65,8,0)+IF(AND(MOD(H1985,30)&gt;8,MOD(H1985,30)&lt;=18),1*VLOOKUP(D1985,'报价表-配送'!$B$61:$I$65,7,0),0)+IF(AND(MOD(H1985,30)&lt;=8,MOD(H1985,30)&gt;2.5),1,0)*VLOOKUP(D1985,'报价表-配送'!$B$61:$I$65,6,0)+IF(AND(MOD(H1985,30)&lt;=2.5,MOD(H1985,30)&gt;=1.5),1,0)*VLOOKUP(D1985,'报价表-配送'!$B$61:$I$65,5,0)</f>
        <v>0</v>
      </c>
      <c r="M1985" s="39">
        <f>IF(AND(MOD(H1985,30)&lt;1.5,MOD(H1985,30)&gt;=0.5),H1985,0)*VLOOKUP(D1985,'报价表-配送'!$B$61:$I$65,4,0)*1000+IF(AND(MOD(H1985,30)&lt;0.5,MOD(H1985,30)&gt;=0.02),H1985,0)*VLOOKUP(D1985,'报价表-配送'!$B$61:$I$65,3,0)*1000+IF(AND(MOD(H1985,30)&lt;0.02),H1985,0)*VLOOKUP(D1985,'报价表-配送'!$B$61:$I$65,2,0)*1000</f>
        <v>0</v>
      </c>
      <c r="N1985" s="38">
        <f t="shared" si="30"/>
        <v>0</v>
      </c>
    </row>
    <row r="1986" spans="1:14" x14ac:dyDescent="0.25">
      <c r="A1986" s="117" t="s">
        <v>241</v>
      </c>
      <c r="B1986" s="106" t="s">
        <v>173</v>
      </c>
      <c r="C1986" s="62">
        <f>VLOOKUP(B1986,合并仓明细!$D$2:$F$74,3,0)</f>
        <v>163</v>
      </c>
      <c r="D1986" s="103" t="s">
        <v>529</v>
      </c>
      <c r="E1986" s="106" t="s">
        <v>367</v>
      </c>
      <c r="F1986" s="103" t="s">
        <v>66</v>
      </c>
      <c r="G1986" s="111">
        <v>1000</v>
      </c>
      <c r="H1986">
        <v>1</v>
      </c>
      <c r="I1986" s="46"/>
      <c r="L1986" s="37">
        <f>IF(H1986&gt;30,QUOTIENT(H1986,30)*VLOOKUP(D1986,'报价表-配送'!$B$61:$I$65,8,0),0)+IF(AND(MOD(H1986,30)&gt;18,MOD(H1986,30)&lt;=30),1,0)*VLOOKUP(D1986,'报价表-配送'!$B$61:$I$65,8,0)+IF(AND(MOD(H1986,30)&gt;8,MOD(H1986,30)&lt;=18),1*VLOOKUP(D1986,'报价表-配送'!$B$61:$I$65,7,0),0)+IF(AND(MOD(H1986,30)&lt;=8,MOD(H1986,30)&gt;2.5),1,0)*VLOOKUP(D1986,'报价表-配送'!$B$61:$I$65,6,0)+IF(AND(MOD(H1986,30)&lt;=2.5,MOD(H1986,30)&gt;=1.5),1,0)*VLOOKUP(D1986,'报价表-配送'!$B$61:$I$65,5,0)</f>
        <v>0</v>
      </c>
      <c r="M1986" s="39">
        <f>IF(AND(MOD(H1986,30)&lt;1.5,MOD(H1986,30)&gt;=0.5),H1986,0)*VLOOKUP(D1986,'报价表-配送'!$B$61:$I$65,4,0)*1000+IF(AND(MOD(H1986,30)&lt;0.5,MOD(H1986,30)&gt;=0.02),H1986,0)*VLOOKUP(D1986,'报价表-配送'!$B$61:$I$65,3,0)*1000+IF(AND(MOD(H1986,30)&lt;0.02),H1986,0)*VLOOKUP(D1986,'报价表-配送'!$B$61:$I$65,2,0)*1000</f>
        <v>0</v>
      </c>
      <c r="N1986" s="38">
        <f t="shared" si="30"/>
        <v>0</v>
      </c>
    </row>
    <row r="1987" spans="1:14" x14ac:dyDescent="0.25">
      <c r="A1987" s="117" t="s">
        <v>241</v>
      </c>
      <c r="B1987" s="106" t="s">
        <v>173</v>
      </c>
      <c r="C1987" s="62">
        <f>VLOOKUP(B1987,合并仓明细!$D$2:$F$74,3,0)</f>
        <v>163</v>
      </c>
      <c r="D1987" s="103" t="s">
        <v>529</v>
      </c>
      <c r="E1987" s="106" t="s">
        <v>367</v>
      </c>
      <c r="F1987" s="103" t="s">
        <v>66</v>
      </c>
      <c r="G1987" s="111">
        <v>400</v>
      </c>
      <c r="H1987">
        <v>0.4</v>
      </c>
      <c r="I1987" s="46"/>
      <c r="L1987" s="37">
        <f>IF(H1987&gt;30,QUOTIENT(H1987,30)*VLOOKUP(D1987,'报价表-配送'!$B$61:$I$65,8,0),0)+IF(AND(MOD(H1987,30)&gt;18,MOD(H1987,30)&lt;=30),1,0)*VLOOKUP(D1987,'报价表-配送'!$B$61:$I$65,8,0)+IF(AND(MOD(H1987,30)&gt;8,MOD(H1987,30)&lt;=18),1*VLOOKUP(D1987,'报价表-配送'!$B$61:$I$65,7,0),0)+IF(AND(MOD(H1987,30)&lt;=8,MOD(H1987,30)&gt;2.5),1,0)*VLOOKUP(D1987,'报价表-配送'!$B$61:$I$65,6,0)+IF(AND(MOD(H1987,30)&lt;=2.5,MOD(H1987,30)&gt;=1.5),1,0)*VLOOKUP(D1987,'报价表-配送'!$B$61:$I$65,5,0)</f>
        <v>0</v>
      </c>
      <c r="M1987" s="39">
        <f>IF(AND(MOD(H1987,30)&lt;1.5,MOD(H1987,30)&gt;=0.5),H1987,0)*VLOOKUP(D1987,'报价表-配送'!$B$61:$I$65,4,0)*1000+IF(AND(MOD(H1987,30)&lt;0.5,MOD(H1987,30)&gt;=0.02),H1987,0)*VLOOKUP(D1987,'报价表-配送'!$B$61:$I$65,3,0)*1000+IF(AND(MOD(H1987,30)&lt;0.02),H1987,0)*VLOOKUP(D1987,'报价表-配送'!$B$61:$I$65,2,0)*1000</f>
        <v>0</v>
      </c>
      <c r="N1987" s="38">
        <f t="shared" si="30"/>
        <v>0</v>
      </c>
    </row>
    <row r="1988" spans="1:14" x14ac:dyDescent="0.25">
      <c r="A1988" s="117" t="s">
        <v>241</v>
      </c>
      <c r="B1988" s="106" t="s">
        <v>173</v>
      </c>
      <c r="C1988" s="62">
        <f>VLOOKUP(B1988,合并仓明细!$D$2:$F$74,3,0)</f>
        <v>163</v>
      </c>
      <c r="D1988" s="103" t="s">
        <v>529</v>
      </c>
      <c r="E1988" s="106" t="s">
        <v>367</v>
      </c>
      <c r="F1988" s="103" t="s">
        <v>66</v>
      </c>
      <c r="G1988" s="111">
        <v>2</v>
      </c>
      <c r="H1988">
        <v>2E-3</v>
      </c>
      <c r="I1988" s="46"/>
      <c r="L1988" s="37">
        <f>IF(H1988&gt;30,QUOTIENT(H1988,30)*VLOOKUP(D1988,'报价表-配送'!$B$61:$I$65,8,0),0)+IF(AND(MOD(H1988,30)&gt;18,MOD(H1988,30)&lt;=30),1,0)*VLOOKUP(D1988,'报价表-配送'!$B$61:$I$65,8,0)+IF(AND(MOD(H1988,30)&gt;8,MOD(H1988,30)&lt;=18),1*VLOOKUP(D1988,'报价表-配送'!$B$61:$I$65,7,0),0)+IF(AND(MOD(H1988,30)&lt;=8,MOD(H1988,30)&gt;2.5),1,0)*VLOOKUP(D1988,'报价表-配送'!$B$61:$I$65,6,0)+IF(AND(MOD(H1988,30)&lt;=2.5,MOD(H1988,30)&gt;=1.5),1,0)*VLOOKUP(D1988,'报价表-配送'!$B$61:$I$65,5,0)</f>
        <v>0</v>
      </c>
      <c r="M1988" s="39">
        <f>IF(AND(MOD(H1988,30)&lt;1.5,MOD(H1988,30)&gt;=0.5),H1988,0)*VLOOKUP(D1988,'报价表-配送'!$B$61:$I$65,4,0)*1000+IF(AND(MOD(H1988,30)&lt;0.5,MOD(H1988,30)&gt;=0.02),H1988,0)*VLOOKUP(D1988,'报价表-配送'!$B$61:$I$65,3,0)*1000+IF(AND(MOD(H1988,30)&lt;0.02),H1988,0)*VLOOKUP(D1988,'报价表-配送'!$B$61:$I$65,2,0)*1000</f>
        <v>0</v>
      </c>
      <c r="N1988" s="38">
        <f t="shared" si="30"/>
        <v>0</v>
      </c>
    </row>
    <row r="1989" spans="1:14" x14ac:dyDescent="0.25">
      <c r="A1989" s="56" t="s">
        <v>241</v>
      </c>
      <c r="B1989" s="43" t="s">
        <v>174</v>
      </c>
      <c r="C1989" s="62">
        <f>VLOOKUP(B1989,合并仓明细!$D$2:$F$74,3,0)</f>
        <v>49</v>
      </c>
      <c r="D1989" t="s">
        <v>393</v>
      </c>
      <c r="E1989" s="43" t="s">
        <v>256</v>
      </c>
      <c r="F1989" t="s">
        <v>68</v>
      </c>
      <c r="G1989" s="42">
        <v>89.4</v>
      </c>
      <c r="H1989">
        <v>7.1493899999999995</v>
      </c>
      <c r="I1989" s="46">
        <f>ROUNDUP(H1989/30,0)*VLOOKUP(D1989,'报价表-配送'!$B$61:$I$65,8,0)</f>
        <v>0</v>
      </c>
      <c r="N1989" s="38">
        <f t="shared" si="30"/>
        <v>0</v>
      </c>
    </row>
    <row r="1990" spans="1:14" x14ac:dyDescent="0.25">
      <c r="A1990" s="56" t="s">
        <v>241</v>
      </c>
      <c r="B1990" s="43" t="s">
        <v>174</v>
      </c>
      <c r="C1990" s="62">
        <f>VLOOKUP(B1990,合并仓明细!$D$2:$F$74,3,0)</f>
        <v>49</v>
      </c>
      <c r="D1990" t="s">
        <v>393</v>
      </c>
      <c r="E1990" s="43" t="s">
        <v>256</v>
      </c>
      <c r="F1990" t="s">
        <v>67</v>
      </c>
      <c r="G1990" s="42">
        <v>6634.3099999999995</v>
      </c>
      <c r="H1990"/>
      <c r="N1990" s="38">
        <f t="shared" si="30"/>
        <v>0</v>
      </c>
    </row>
    <row r="1991" spans="1:14" x14ac:dyDescent="0.25">
      <c r="A1991" s="56" t="s">
        <v>241</v>
      </c>
      <c r="B1991" s="43" t="s">
        <v>174</v>
      </c>
      <c r="C1991" s="62">
        <f>VLOOKUP(B1991,合并仓明细!$D$2:$F$74,3,0)</f>
        <v>49</v>
      </c>
      <c r="D1991" t="s">
        <v>393</v>
      </c>
      <c r="E1991" s="44" t="s">
        <v>256</v>
      </c>
      <c r="F1991" t="s">
        <v>66</v>
      </c>
      <c r="G1991" s="42">
        <v>425.68</v>
      </c>
      <c r="H1991"/>
      <c r="I1991" s="46"/>
      <c r="N1991" s="38">
        <f t="shared" si="30"/>
        <v>0</v>
      </c>
    </row>
    <row r="1992" spans="1:14" x14ac:dyDescent="0.25">
      <c r="A1992" s="56" t="s">
        <v>241</v>
      </c>
      <c r="B1992" s="43" t="s">
        <v>174</v>
      </c>
      <c r="C1992" s="62">
        <f>VLOOKUP(B1992,合并仓明细!$D$2:$F$74,3,0)</f>
        <v>49</v>
      </c>
      <c r="D1992" t="s">
        <v>393</v>
      </c>
      <c r="E1992" s="43" t="s">
        <v>261</v>
      </c>
      <c r="F1992" t="s">
        <v>68</v>
      </c>
      <c r="G1992" s="42">
        <v>636.75</v>
      </c>
      <c r="H1992">
        <v>23.723749999999999</v>
      </c>
      <c r="I1992" s="46">
        <f>ROUNDUP(H1992/30,0)*VLOOKUP(D1992,'报价表-配送'!$B$61:$I$65,8,0)</f>
        <v>0</v>
      </c>
      <c r="N1992" s="38">
        <f t="shared" si="30"/>
        <v>0</v>
      </c>
    </row>
    <row r="1993" spans="1:14" x14ac:dyDescent="0.25">
      <c r="A1993" s="56" t="s">
        <v>241</v>
      </c>
      <c r="B1993" s="43" t="s">
        <v>174</v>
      </c>
      <c r="C1993" s="62">
        <f>VLOOKUP(B1993,合并仓明细!$D$2:$F$74,3,0)</f>
        <v>49</v>
      </c>
      <c r="D1993" t="s">
        <v>393</v>
      </c>
      <c r="E1993" s="43" t="s">
        <v>261</v>
      </c>
      <c r="F1993" t="s">
        <v>67</v>
      </c>
      <c r="G1993" s="42">
        <v>21589.61</v>
      </c>
      <c r="H1993"/>
      <c r="I1993" s="38"/>
      <c r="J1993" s="38"/>
      <c r="K1993" s="38"/>
      <c r="L1993" s="57"/>
      <c r="M1993" s="37"/>
      <c r="N1993" s="38">
        <f t="shared" si="30"/>
        <v>0</v>
      </c>
    </row>
    <row r="1994" spans="1:14" x14ac:dyDescent="0.25">
      <c r="A1994" s="56" t="s">
        <v>241</v>
      </c>
      <c r="B1994" s="45" t="s">
        <v>174</v>
      </c>
      <c r="C1994" s="62">
        <f>VLOOKUP(B1994,合并仓明细!$D$2:$F$74,3,0)</f>
        <v>49</v>
      </c>
      <c r="D1994" t="s">
        <v>393</v>
      </c>
      <c r="E1994" s="43" t="s">
        <v>261</v>
      </c>
      <c r="F1994" t="s">
        <v>66</v>
      </c>
      <c r="G1994" s="42">
        <v>1497.3899999999999</v>
      </c>
      <c r="H1994"/>
      <c r="N1994" s="38">
        <f t="shared" si="30"/>
        <v>0</v>
      </c>
    </row>
    <row r="1995" spans="1:14" x14ac:dyDescent="0.25">
      <c r="A1995" s="56" t="s">
        <v>241</v>
      </c>
      <c r="B1995" s="43" t="s">
        <v>174</v>
      </c>
      <c r="C1995" s="62">
        <f>VLOOKUP(B1995,合并仓明细!$D$2:$F$74,3,0)</f>
        <v>49</v>
      </c>
      <c r="D1995" t="s">
        <v>393</v>
      </c>
      <c r="E1995" s="43" t="s">
        <v>262</v>
      </c>
      <c r="F1995" t="s">
        <v>68</v>
      </c>
      <c r="G1995" s="42">
        <v>664.22</v>
      </c>
      <c r="H1995">
        <v>3.5952599999999997</v>
      </c>
      <c r="I1995" s="46">
        <f>ROUNDUP(H1995/30,0)*VLOOKUP(D1995,'报价表-配送'!$B$61:$I$65,8,0)</f>
        <v>0</v>
      </c>
      <c r="N1995" s="38">
        <f t="shared" si="30"/>
        <v>0</v>
      </c>
    </row>
    <row r="1996" spans="1:14" x14ac:dyDescent="0.25">
      <c r="A1996" s="56" t="s">
        <v>241</v>
      </c>
      <c r="B1996" s="43" t="s">
        <v>174</v>
      </c>
      <c r="C1996" s="62">
        <f>VLOOKUP(B1996,合并仓明细!$D$2:$F$74,3,0)</f>
        <v>49</v>
      </c>
      <c r="D1996" t="s">
        <v>393</v>
      </c>
      <c r="E1996" s="44" t="s">
        <v>262</v>
      </c>
      <c r="F1996" t="s">
        <v>67</v>
      </c>
      <c r="G1996" s="42">
        <v>2738.9</v>
      </c>
      <c r="H1996"/>
      <c r="I1996" s="38"/>
      <c r="J1996" s="38"/>
      <c r="K1996" s="38"/>
      <c r="L1996" s="57"/>
      <c r="M1996" s="37"/>
      <c r="N1996" s="38">
        <f t="shared" si="30"/>
        <v>0</v>
      </c>
    </row>
    <row r="1997" spans="1:14" x14ac:dyDescent="0.25">
      <c r="A1997" s="56" t="s">
        <v>241</v>
      </c>
      <c r="B1997" s="43" t="s">
        <v>174</v>
      </c>
      <c r="C1997" s="62">
        <f>VLOOKUP(B1997,合并仓明细!$D$2:$F$74,3,0)</f>
        <v>49</v>
      </c>
      <c r="D1997" t="s">
        <v>393</v>
      </c>
      <c r="E1997" s="43" t="s">
        <v>262</v>
      </c>
      <c r="F1997" t="s">
        <v>66</v>
      </c>
      <c r="G1997" s="42">
        <v>192.14000000000001</v>
      </c>
      <c r="H1997"/>
      <c r="N1997" s="38">
        <f t="shared" si="30"/>
        <v>0</v>
      </c>
    </row>
    <row r="1998" spans="1:14" x14ac:dyDescent="0.25">
      <c r="A1998" s="56" t="s">
        <v>241</v>
      </c>
      <c r="B1998" s="43" t="s">
        <v>174</v>
      </c>
      <c r="C1998" s="62">
        <f>VLOOKUP(B1998,合并仓明细!$D$2:$F$74,3,0)</f>
        <v>49</v>
      </c>
      <c r="D1998" t="s">
        <v>393</v>
      </c>
      <c r="E1998" s="43" t="s">
        <v>344</v>
      </c>
      <c r="F1998" t="s">
        <v>68</v>
      </c>
      <c r="G1998" s="42">
        <v>341.62</v>
      </c>
      <c r="H1998">
        <v>7.3976799999999994</v>
      </c>
      <c r="I1998" s="46">
        <f>ROUNDUP(H1998/30,0)*VLOOKUP(D1998,'报价表-配送'!$B$61:$I$65,8,0)</f>
        <v>0</v>
      </c>
      <c r="N1998" s="38">
        <f t="shared" si="30"/>
        <v>0</v>
      </c>
    </row>
    <row r="1999" spans="1:14" x14ac:dyDescent="0.25">
      <c r="A1999" s="56" t="s">
        <v>241</v>
      </c>
      <c r="B1999" s="43" t="s">
        <v>174</v>
      </c>
      <c r="C1999" s="62">
        <f>VLOOKUP(B1999,合并仓明细!$D$2:$F$74,3,0)</f>
        <v>49</v>
      </c>
      <c r="D1999" t="s">
        <v>393</v>
      </c>
      <c r="E1999" s="44" t="s">
        <v>344</v>
      </c>
      <c r="F1999" t="s">
        <v>67</v>
      </c>
      <c r="G1999" s="42">
        <v>5857.73</v>
      </c>
      <c r="H1999"/>
      <c r="I1999" s="46"/>
      <c r="N1999" s="38">
        <f t="shared" si="30"/>
        <v>0</v>
      </c>
    </row>
    <row r="2000" spans="1:14" x14ac:dyDescent="0.25">
      <c r="A2000" s="56" t="s">
        <v>241</v>
      </c>
      <c r="B2000" s="43" t="s">
        <v>174</v>
      </c>
      <c r="C2000" s="62">
        <f>VLOOKUP(B2000,合并仓明细!$D$2:$F$74,3,0)</f>
        <v>49</v>
      </c>
      <c r="D2000" t="s">
        <v>393</v>
      </c>
      <c r="E2000" s="43" t="s">
        <v>344</v>
      </c>
      <c r="F2000" t="s">
        <v>66</v>
      </c>
      <c r="G2000" s="42">
        <v>1198.3299999999997</v>
      </c>
      <c r="H2000"/>
      <c r="N2000" s="38">
        <f t="shared" si="30"/>
        <v>0</v>
      </c>
    </row>
    <row r="2001" spans="1:14" x14ac:dyDescent="0.25">
      <c r="A2001" s="56" t="s">
        <v>241</v>
      </c>
      <c r="B2001" s="43" t="s">
        <v>174</v>
      </c>
      <c r="C2001" s="62">
        <f>VLOOKUP(B2001,合并仓明细!$D$2:$F$74,3,0)</f>
        <v>49</v>
      </c>
      <c r="D2001" t="s">
        <v>393</v>
      </c>
      <c r="E2001" s="43" t="s">
        <v>265</v>
      </c>
      <c r="F2001" t="s">
        <v>68</v>
      </c>
      <c r="G2001" s="42">
        <v>627.78</v>
      </c>
      <c r="H2001">
        <v>1.22994</v>
      </c>
      <c r="I2001" s="46">
        <f>ROUNDUP(H2001/30,0)*VLOOKUP(D2001,'报价表-配送'!$B$61:$I$65,8,0)</f>
        <v>0</v>
      </c>
      <c r="N2001" s="38">
        <f t="shared" si="30"/>
        <v>0</v>
      </c>
    </row>
    <row r="2002" spans="1:14" x14ac:dyDescent="0.25">
      <c r="A2002" s="56" t="s">
        <v>241</v>
      </c>
      <c r="B2002" s="43" t="s">
        <v>174</v>
      </c>
      <c r="C2002" s="62">
        <f>VLOOKUP(B2002,合并仓明细!$D$2:$F$74,3,0)</f>
        <v>49</v>
      </c>
      <c r="D2002" t="s">
        <v>393</v>
      </c>
      <c r="E2002" s="43" t="s">
        <v>265</v>
      </c>
      <c r="F2002" t="s">
        <v>67</v>
      </c>
      <c r="G2002" s="42">
        <v>106.75</v>
      </c>
      <c r="H2002"/>
      <c r="I2002" s="46"/>
      <c r="N2002" s="38">
        <f t="shared" si="30"/>
        <v>0</v>
      </c>
    </row>
    <row r="2003" spans="1:14" x14ac:dyDescent="0.25">
      <c r="A2003" s="56" t="s">
        <v>241</v>
      </c>
      <c r="B2003" s="43" t="s">
        <v>174</v>
      </c>
      <c r="C2003" s="62">
        <f>VLOOKUP(B2003,合并仓明细!$D$2:$F$74,3,0)</f>
        <v>49</v>
      </c>
      <c r="D2003" t="s">
        <v>393</v>
      </c>
      <c r="E2003" s="43" t="s">
        <v>265</v>
      </c>
      <c r="F2003" t="s">
        <v>66</v>
      </c>
      <c r="G2003" s="42">
        <v>495.40999999999997</v>
      </c>
      <c r="H2003"/>
      <c r="N2003" s="38">
        <f t="shared" si="30"/>
        <v>0</v>
      </c>
    </row>
    <row r="2004" spans="1:14" x14ac:dyDescent="0.25">
      <c r="A2004" s="56" t="s">
        <v>241</v>
      </c>
      <c r="B2004" s="43" t="s">
        <v>174</v>
      </c>
      <c r="C2004" s="62">
        <f>VLOOKUP(B2004,合并仓明细!$D$2:$F$74,3,0)</f>
        <v>49</v>
      </c>
      <c r="D2004" t="s">
        <v>393</v>
      </c>
      <c r="E2004" s="43" t="s">
        <v>333</v>
      </c>
      <c r="F2004" t="s">
        <v>66</v>
      </c>
      <c r="G2004" s="42">
        <v>122.24</v>
      </c>
      <c r="H2004">
        <v>0.12224</v>
      </c>
      <c r="L2004" s="37">
        <f>IF(H2004&gt;30,QUOTIENT(H2004,30)*VLOOKUP(D2004,'报价表-配送'!$B$61:$I$65,8,0),0)+IF(AND(MOD(H2004,30)&gt;18,MOD(H2004,30)&lt;=30),1,0)*VLOOKUP(D2004,'报价表-配送'!$B$61:$I$65,8,0)+IF(AND(MOD(H2004,30)&gt;8,MOD(H2004,30)&lt;=18),1*VLOOKUP(D2004,'报价表-配送'!$B$61:$I$65,7,0),0)+IF(AND(MOD(H2004,30)&lt;=8,MOD(H2004,30)&gt;2.5),1,0)*VLOOKUP(D2004,'报价表-配送'!$B$61:$I$65,6,0)+IF(AND(MOD(H2004,30)&lt;=2.5,MOD(H2004,30)&gt;=1.5),1,0)*VLOOKUP(D2004,'报价表-配送'!$B$61:$I$65,5,0)</f>
        <v>0</v>
      </c>
      <c r="M2004" s="39">
        <f>IF(AND(MOD(H2004,30)&lt;1.5,MOD(H2004,30)&gt;=0.5),H2004,0)*VLOOKUP(D2004,'报价表-配送'!$B$61:$I$65,4,0)*1000+IF(AND(MOD(H2004,30)&lt;0.5,MOD(H2004,30)&gt;=0.02),H2004,0)*VLOOKUP(D2004,'报价表-配送'!$B$61:$I$65,3,0)*1000+IF(AND(MOD(H2004,30)&lt;0.02),H2004,0)*VLOOKUP(D2004,'报价表-配送'!$B$61:$I$65,2,0)*1000</f>
        <v>0</v>
      </c>
      <c r="N2004" s="38">
        <f t="shared" si="30"/>
        <v>0</v>
      </c>
    </row>
    <row r="2005" spans="1:14" x14ac:dyDescent="0.25">
      <c r="A2005" s="56" t="s">
        <v>241</v>
      </c>
      <c r="B2005" s="43" t="s">
        <v>174</v>
      </c>
      <c r="C2005" s="62">
        <f>VLOOKUP(B2005,合并仓明细!$D$2:$F$74,3,0)</f>
        <v>49</v>
      </c>
      <c r="D2005" t="s">
        <v>393</v>
      </c>
      <c r="E2005" s="44" t="s">
        <v>257</v>
      </c>
      <c r="F2005" t="s">
        <v>68</v>
      </c>
      <c r="G2005" s="42">
        <v>7919.64</v>
      </c>
      <c r="H2005">
        <v>20.421080000000003</v>
      </c>
      <c r="I2005" s="46">
        <f>ROUNDUP(H2005/30,0)*VLOOKUP(D2005,'报价表-配送'!$B$61:$I$65,8,0)</f>
        <v>0</v>
      </c>
      <c r="N2005" s="38">
        <f t="shared" si="30"/>
        <v>0</v>
      </c>
    </row>
    <row r="2006" spans="1:14" x14ac:dyDescent="0.25">
      <c r="A2006" s="56" t="s">
        <v>241</v>
      </c>
      <c r="B2006" s="43" t="s">
        <v>174</v>
      </c>
      <c r="C2006" s="62">
        <f>VLOOKUP(B2006,合并仓明细!$D$2:$F$74,3,0)</f>
        <v>49</v>
      </c>
      <c r="D2006" t="s">
        <v>393</v>
      </c>
      <c r="E2006" s="43" t="s">
        <v>257</v>
      </c>
      <c r="F2006" t="s">
        <v>67</v>
      </c>
      <c r="G2006" s="42">
        <v>11346.15</v>
      </c>
      <c r="H2006"/>
      <c r="N2006" s="38">
        <f t="shared" si="30"/>
        <v>0</v>
      </c>
    </row>
    <row r="2007" spans="1:14" x14ac:dyDescent="0.25">
      <c r="A2007" s="56" t="s">
        <v>241</v>
      </c>
      <c r="B2007" s="43" t="s">
        <v>174</v>
      </c>
      <c r="C2007" s="62">
        <f>VLOOKUP(B2007,合并仓明细!$D$2:$F$74,3,0)</f>
        <v>49</v>
      </c>
      <c r="D2007" t="s">
        <v>393</v>
      </c>
      <c r="E2007" s="43" t="s">
        <v>257</v>
      </c>
      <c r="F2007" t="s">
        <v>66</v>
      </c>
      <c r="G2007" s="42">
        <v>1155.2899999999997</v>
      </c>
      <c r="H2007"/>
      <c r="N2007" s="38">
        <f t="shared" si="30"/>
        <v>0</v>
      </c>
    </row>
    <row r="2008" spans="1:14" x14ac:dyDescent="0.25">
      <c r="A2008" s="56" t="s">
        <v>241</v>
      </c>
      <c r="B2008" s="43" t="s">
        <v>174</v>
      </c>
      <c r="C2008" s="62">
        <f>VLOOKUP(B2008,合并仓明细!$D$2:$F$74,3,0)</f>
        <v>49</v>
      </c>
      <c r="D2008" t="s">
        <v>393</v>
      </c>
      <c r="E2008" s="44" t="s">
        <v>266</v>
      </c>
      <c r="F2008" t="s">
        <v>68</v>
      </c>
      <c r="G2008" s="42">
        <v>20.22</v>
      </c>
      <c r="H2008">
        <v>1.7492300000000001</v>
      </c>
      <c r="I2008" s="46">
        <f>ROUNDUP(H2008/30,0)*VLOOKUP(D2008,'报价表-配送'!$B$61:$I$65,8,0)</f>
        <v>0</v>
      </c>
      <c r="N2008" s="38">
        <f t="shared" si="30"/>
        <v>0</v>
      </c>
    </row>
    <row r="2009" spans="1:14" x14ac:dyDescent="0.25">
      <c r="A2009" s="56" t="s">
        <v>241</v>
      </c>
      <c r="B2009" s="43" t="s">
        <v>174</v>
      </c>
      <c r="C2009" s="62">
        <f>VLOOKUP(B2009,合并仓明细!$D$2:$F$74,3,0)</f>
        <v>49</v>
      </c>
      <c r="D2009" t="s">
        <v>393</v>
      </c>
      <c r="E2009" s="43" t="s">
        <v>266</v>
      </c>
      <c r="F2009" t="s">
        <v>67</v>
      </c>
      <c r="G2009" s="42">
        <v>264.06</v>
      </c>
      <c r="H2009"/>
      <c r="N2009" s="38">
        <f t="shared" si="30"/>
        <v>0</v>
      </c>
    </row>
    <row r="2010" spans="1:14" x14ac:dyDescent="0.25">
      <c r="A2010" s="56" t="s">
        <v>241</v>
      </c>
      <c r="B2010" s="43" t="s">
        <v>174</v>
      </c>
      <c r="C2010" s="62">
        <f>VLOOKUP(B2010,合并仓明细!$D$2:$F$74,3,0)</f>
        <v>49</v>
      </c>
      <c r="D2010" t="s">
        <v>393</v>
      </c>
      <c r="E2010" s="43" t="s">
        <v>266</v>
      </c>
      <c r="F2010" t="s">
        <v>66</v>
      </c>
      <c r="G2010" s="42">
        <v>1464.95</v>
      </c>
      <c r="H2010"/>
      <c r="N2010" s="38">
        <f t="shared" si="30"/>
        <v>0</v>
      </c>
    </row>
    <row r="2011" spans="1:14" x14ac:dyDescent="0.25">
      <c r="A2011" s="56" t="s">
        <v>241</v>
      </c>
      <c r="B2011" s="43" t="s">
        <v>174</v>
      </c>
      <c r="C2011" s="62">
        <f>VLOOKUP(B2011,合并仓明细!$D$2:$F$74,3,0)</f>
        <v>49</v>
      </c>
      <c r="D2011" t="s">
        <v>393</v>
      </c>
      <c r="E2011" s="43" t="s">
        <v>267</v>
      </c>
      <c r="F2011" t="s">
        <v>68</v>
      </c>
      <c r="G2011" s="42">
        <v>454.08000000000004</v>
      </c>
      <c r="H2011">
        <v>1.7799800000000003</v>
      </c>
      <c r="I2011" s="46">
        <f>ROUNDUP(H2011/30,0)*VLOOKUP(D2011,'报价表-配送'!$B$61:$I$65,8,0)</f>
        <v>0</v>
      </c>
      <c r="J2011" s="38"/>
      <c r="K2011" s="38"/>
      <c r="L2011" s="57"/>
      <c r="M2011" s="37"/>
      <c r="N2011" s="38">
        <f t="shared" si="30"/>
        <v>0</v>
      </c>
    </row>
    <row r="2012" spans="1:14" x14ac:dyDescent="0.25">
      <c r="A2012" s="56" t="s">
        <v>241</v>
      </c>
      <c r="B2012" s="43" t="s">
        <v>174</v>
      </c>
      <c r="C2012" s="62">
        <f>VLOOKUP(B2012,合并仓明细!$D$2:$F$74,3,0)</f>
        <v>49</v>
      </c>
      <c r="D2012" t="s">
        <v>393</v>
      </c>
      <c r="E2012" s="43" t="s">
        <v>267</v>
      </c>
      <c r="F2012" t="s">
        <v>67</v>
      </c>
      <c r="G2012" s="42">
        <v>287.14</v>
      </c>
      <c r="H2012"/>
      <c r="N2012" s="38">
        <f t="shared" si="30"/>
        <v>0</v>
      </c>
    </row>
    <row r="2013" spans="1:14" x14ac:dyDescent="0.25">
      <c r="A2013" s="56" t="s">
        <v>241</v>
      </c>
      <c r="B2013" s="43" t="s">
        <v>174</v>
      </c>
      <c r="C2013" s="62">
        <f>VLOOKUP(B2013,合并仓明细!$D$2:$F$74,3,0)</f>
        <v>49</v>
      </c>
      <c r="D2013" t="s">
        <v>393</v>
      </c>
      <c r="E2013" s="43" t="s">
        <v>267</v>
      </c>
      <c r="F2013" t="s">
        <v>66</v>
      </c>
      <c r="G2013" s="42">
        <v>1038.7600000000002</v>
      </c>
      <c r="H2013"/>
      <c r="I2013" s="38"/>
      <c r="J2013" s="38"/>
      <c r="K2013" s="38"/>
      <c r="L2013" s="57"/>
      <c r="M2013" s="37"/>
      <c r="N2013" s="38">
        <f t="shared" si="30"/>
        <v>0</v>
      </c>
    </row>
    <row r="2014" spans="1:14" x14ac:dyDescent="0.25">
      <c r="A2014" s="56" t="s">
        <v>241</v>
      </c>
      <c r="B2014" s="43" t="s">
        <v>174</v>
      </c>
      <c r="C2014" s="62">
        <f>VLOOKUP(B2014,合并仓明细!$D$2:$F$74,3,0)</f>
        <v>49</v>
      </c>
      <c r="D2014" t="s">
        <v>393</v>
      </c>
      <c r="E2014" s="43" t="s">
        <v>268</v>
      </c>
      <c r="F2014" t="s">
        <v>68</v>
      </c>
      <c r="G2014" s="42">
        <v>2450.2900000000009</v>
      </c>
      <c r="H2014">
        <v>8.1792800000000021</v>
      </c>
      <c r="I2014" s="46">
        <f>ROUNDUP(H2014/30,0)*VLOOKUP(D2014,'报价表-配送'!$B$61:$I$65,8,0)</f>
        <v>0</v>
      </c>
      <c r="N2014" s="38">
        <f t="shared" si="30"/>
        <v>0</v>
      </c>
    </row>
    <row r="2015" spans="1:14" x14ac:dyDescent="0.25">
      <c r="A2015" s="56" t="s">
        <v>241</v>
      </c>
      <c r="B2015" s="43" t="s">
        <v>174</v>
      </c>
      <c r="C2015" s="62">
        <f>VLOOKUP(B2015,合并仓明细!$D$2:$F$74,3,0)</f>
        <v>49</v>
      </c>
      <c r="D2015" t="s">
        <v>393</v>
      </c>
      <c r="E2015" s="43" t="s">
        <v>268</v>
      </c>
      <c r="F2015" t="s">
        <v>67</v>
      </c>
      <c r="G2015" s="42">
        <v>4745.8200000000006</v>
      </c>
      <c r="H2015"/>
      <c r="N2015" s="38">
        <f t="shared" si="30"/>
        <v>0</v>
      </c>
    </row>
    <row r="2016" spans="1:14" x14ac:dyDescent="0.25">
      <c r="A2016" s="56" t="s">
        <v>241</v>
      </c>
      <c r="B2016" s="43" t="s">
        <v>174</v>
      </c>
      <c r="C2016" s="62">
        <f>VLOOKUP(B2016,合并仓明细!$D$2:$F$74,3,0)</f>
        <v>49</v>
      </c>
      <c r="D2016" t="s">
        <v>393</v>
      </c>
      <c r="E2016" s="43" t="s">
        <v>268</v>
      </c>
      <c r="F2016" t="s">
        <v>66</v>
      </c>
      <c r="G2016" s="42">
        <v>983.16999999999985</v>
      </c>
      <c r="H2016"/>
      <c r="I2016" s="46"/>
      <c r="N2016" s="38">
        <f t="shared" si="30"/>
        <v>0</v>
      </c>
    </row>
    <row r="2017" spans="1:15" x14ac:dyDescent="0.25">
      <c r="A2017" s="56" t="s">
        <v>241</v>
      </c>
      <c r="B2017" s="43" t="s">
        <v>174</v>
      </c>
      <c r="C2017" s="62">
        <f>VLOOKUP(B2017,合并仓明细!$D$2:$F$74,3,0)</f>
        <v>49</v>
      </c>
      <c r="D2017" t="s">
        <v>393</v>
      </c>
      <c r="E2017" s="43" t="s">
        <v>335</v>
      </c>
      <c r="F2017" t="s">
        <v>67</v>
      </c>
      <c r="G2017" s="42">
        <v>2665.65</v>
      </c>
      <c r="H2017">
        <v>2.9392100000000001</v>
      </c>
      <c r="I2017" s="38">
        <f>IF(H2017&gt;30,QUOTIENT(H2017,30)*VLOOKUP(D2017,'报价表-配送'!$B$61:$I$65,8,0),0)+IF(AND(MOD(H2017,30)&gt;18,MOD(H2017,30)&lt;=30),1,0)*VLOOKUP(D2017,'报价表-配送'!$B$61:$I$65,8,0)</f>
        <v>0</v>
      </c>
      <c r="J2017" s="38">
        <f>IF(AND(MOD(H2017,30)&gt;8,MOD(H2017,30)&lt;=18),1*VLOOKUP(D2017,'报价表-配送'!$B$61:$I$65,7,0),0)</f>
        <v>0</v>
      </c>
      <c r="K2017" s="38">
        <f>IF(AND(MOD(H2017,30)&lt;=8,MOD(H2017,30)&gt;0),1,0)*VLOOKUP(D2017,'报价表-配送'!$B$61:$I$65,6,0)</f>
        <v>0</v>
      </c>
      <c r="N2017" s="38">
        <f t="shared" si="30"/>
        <v>0</v>
      </c>
    </row>
    <row r="2018" spans="1:15" x14ac:dyDescent="0.25">
      <c r="A2018" s="56" t="s">
        <v>241</v>
      </c>
      <c r="B2018" s="43" t="s">
        <v>174</v>
      </c>
      <c r="C2018" s="62">
        <f>VLOOKUP(B2018,合并仓明细!$D$2:$F$74,3,0)</f>
        <v>49</v>
      </c>
      <c r="D2018" t="s">
        <v>393</v>
      </c>
      <c r="E2018" s="43" t="s">
        <v>335</v>
      </c>
      <c r="F2018" t="s">
        <v>66</v>
      </c>
      <c r="G2018" s="42">
        <v>273.55999999999995</v>
      </c>
      <c r="H2018"/>
      <c r="N2018" s="38">
        <f t="shared" si="30"/>
        <v>0</v>
      </c>
    </row>
    <row r="2019" spans="1:15" x14ac:dyDescent="0.25">
      <c r="A2019" s="56" t="s">
        <v>241</v>
      </c>
      <c r="B2019" s="43" t="s">
        <v>174</v>
      </c>
      <c r="C2019" s="62">
        <f>VLOOKUP(B2019,合并仓明细!$D$2:$F$74,3,0)</f>
        <v>49</v>
      </c>
      <c r="D2019" t="s">
        <v>393</v>
      </c>
      <c r="E2019" s="44" t="s">
        <v>362</v>
      </c>
      <c r="F2019" t="s">
        <v>67</v>
      </c>
      <c r="G2019" s="42">
        <v>24.03</v>
      </c>
      <c r="H2019">
        <v>2.5160000000000002E-2</v>
      </c>
      <c r="I2019" s="38">
        <f>IF(H2019&gt;30,QUOTIENT(H2019,30)*VLOOKUP(D2019,'报价表-配送'!$B$61:$I$65,8,0),0)+IF(AND(MOD(H2019,30)&gt;18,MOD(H2019,30)&lt;=30),1,0)*VLOOKUP(D2019,'报价表-配送'!$B$61:$I$65,8,0)</f>
        <v>0</v>
      </c>
      <c r="J2019" s="38">
        <f>IF(AND(MOD(H2019,30)&gt;8,MOD(H2019,30)&lt;=18),1*VLOOKUP(D2019,'报价表-配送'!$B$61:$I$65,7,0),0)</f>
        <v>0</v>
      </c>
      <c r="K2019" s="38">
        <f>IF(AND(MOD(H2019,30)&lt;=8,MOD(H2019,30)&gt;0),1,0)*VLOOKUP(D2019,'报价表-配送'!$B$61:$I$65,6,0)</f>
        <v>0</v>
      </c>
      <c r="L2019" s="57"/>
      <c r="M2019" s="37"/>
      <c r="N2019" s="38">
        <f t="shared" si="30"/>
        <v>0</v>
      </c>
    </row>
    <row r="2020" spans="1:15" x14ac:dyDescent="0.25">
      <c r="A2020" s="56" t="s">
        <v>241</v>
      </c>
      <c r="B2020" s="43" t="s">
        <v>174</v>
      </c>
      <c r="C2020" s="62">
        <f>VLOOKUP(B2020,合并仓明细!$D$2:$F$74,3,0)</f>
        <v>49</v>
      </c>
      <c r="D2020" t="s">
        <v>393</v>
      </c>
      <c r="E2020" s="43" t="s">
        <v>362</v>
      </c>
      <c r="F2020" t="s">
        <v>66</v>
      </c>
      <c r="G2020" s="42">
        <v>1.1299999999999999</v>
      </c>
      <c r="H2020"/>
      <c r="N2020" s="38">
        <f t="shared" si="30"/>
        <v>0</v>
      </c>
    </row>
    <row r="2021" spans="1:15" x14ac:dyDescent="0.25">
      <c r="A2021" s="56" t="s">
        <v>241</v>
      </c>
      <c r="B2021" s="43" t="s">
        <v>174</v>
      </c>
      <c r="C2021" s="62">
        <f>VLOOKUP(B2021,合并仓明细!$D$2:$F$74,3,0)</f>
        <v>49</v>
      </c>
      <c r="D2021" t="s">
        <v>393</v>
      </c>
      <c r="E2021" s="43" t="s">
        <v>269</v>
      </c>
      <c r="F2021" t="s">
        <v>68</v>
      </c>
      <c r="G2021" s="42">
        <v>3614.96</v>
      </c>
      <c r="H2021">
        <v>17.310560000000006</v>
      </c>
      <c r="I2021" s="46">
        <f>ROUNDUP(H2021/30,0)*VLOOKUP(D2021,'报价表-配送'!$B$61:$I$65,8,0)</f>
        <v>0</v>
      </c>
      <c r="N2021" s="38">
        <f t="shared" si="30"/>
        <v>0</v>
      </c>
    </row>
    <row r="2022" spans="1:15" x14ac:dyDescent="0.25">
      <c r="A2022" s="56" t="s">
        <v>241</v>
      </c>
      <c r="B2022" s="43" t="s">
        <v>174</v>
      </c>
      <c r="C2022" s="62">
        <f>VLOOKUP(B2022,合并仓明细!$D$2:$F$74,3,0)</f>
        <v>49</v>
      </c>
      <c r="D2022" t="s">
        <v>393</v>
      </c>
      <c r="E2022" s="43" t="s">
        <v>269</v>
      </c>
      <c r="F2022" t="s">
        <v>67</v>
      </c>
      <c r="G2022" s="42">
        <v>12713.360000000002</v>
      </c>
      <c r="H2022"/>
      <c r="N2022" s="38">
        <f t="shared" si="30"/>
        <v>0</v>
      </c>
    </row>
    <row r="2023" spans="1:15" x14ac:dyDescent="0.25">
      <c r="A2023" s="56" t="s">
        <v>241</v>
      </c>
      <c r="B2023" s="43" t="s">
        <v>174</v>
      </c>
      <c r="C2023" s="62">
        <f>VLOOKUP(B2023,合并仓明细!$D$2:$F$74,3,0)</f>
        <v>49</v>
      </c>
      <c r="D2023" t="s">
        <v>393</v>
      </c>
      <c r="E2023" s="43" t="s">
        <v>269</v>
      </c>
      <c r="F2023" t="s">
        <v>66</v>
      </c>
      <c r="G2023" s="42">
        <v>982.2399999999999</v>
      </c>
      <c r="H2023"/>
      <c r="N2023" s="38">
        <f t="shared" si="30"/>
        <v>0</v>
      </c>
    </row>
    <row r="2024" spans="1:15" x14ac:dyDescent="0.25">
      <c r="A2024" s="56" t="s">
        <v>241</v>
      </c>
      <c r="B2024" s="43" t="s">
        <v>174</v>
      </c>
      <c r="C2024" s="62">
        <f>VLOOKUP(B2024,合并仓明细!$D$2:$F$74,3,0)</f>
        <v>49</v>
      </c>
      <c r="D2024" t="s">
        <v>393</v>
      </c>
      <c r="E2024" s="43" t="s">
        <v>270</v>
      </c>
      <c r="F2024" t="s">
        <v>68</v>
      </c>
      <c r="G2024" s="42">
        <v>473.54999999999995</v>
      </c>
      <c r="H2024">
        <v>11.500119999999999</v>
      </c>
      <c r="I2024" s="46">
        <f>ROUNDUP(H2024/30,0)*VLOOKUP(D2024,'报价表-配送'!$B$61:$I$65,8,0)</f>
        <v>0</v>
      </c>
      <c r="J2024" s="38"/>
      <c r="K2024" s="38"/>
      <c r="L2024" s="57"/>
      <c r="M2024" s="37"/>
      <c r="N2024" s="38">
        <f t="shared" si="30"/>
        <v>0</v>
      </c>
    </row>
    <row r="2025" spans="1:15" x14ac:dyDescent="0.25">
      <c r="A2025" s="56" t="s">
        <v>241</v>
      </c>
      <c r="B2025" s="43" t="s">
        <v>174</v>
      </c>
      <c r="C2025" s="62">
        <f>VLOOKUP(B2025,合并仓明细!$D$2:$F$74,3,0)</f>
        <v>49</v>
      </c>
      <c r="D2025" t="s">
        <v>393</v>
      </c>
      <c r="E2025" s="43" t="s">
        <v>270</v>
      </c>
      <c r="F2025" t="s">
        <v>67</v>
      </c>
      <c r="G2025" s="42">
        <v>9453.15</v>
      </c>
      <c r="H2025"/>
      <c r="N2025" s="38">
        <f t="shared" si="30"/>
        <v>0</v>
      </c>
    </row>
    <row r="2026" spans="1:15" x14ac:dyDescent="0.25">
      <c r="A2026" s="56" t="s">
        <v>241</v>
      </c>
      <c r="B2026" s="44" t="s">
        <v>174</v>
      </c>
      <c r="C2026" s="62">
        <f>VLOOKUP(B2026,合并仓明细!$D$2:$F$74,3,0)</f>
        <v>49</v>
      </c>
      <c r="D2026" t="s">
        <v>393</v>
      </c>
      <c r="E2026" s="44" t="s">
        <v>270</v>
      </c>
      <c r="F2026" t="s">
        <v>66</v>
      </c>
      <c r="G2026" s="42">
        <v>1573.42</v>
      </c>
      <c r="H2026"/>
      <c r="L2026" s="57"/>
      <c r="M2026" s="39"/>
      <c r="N2026" s="38">
        <f t="shared" si="30"/>
        <v>0</v>
      </c>
    </row>
    <row r="2027" spans="1:15" x14ac:dyDescent="0.25">
      <c r="A2027" s="56" t="s">
        <v>241</v>
      </c>
      <c r="B2027" s="49" t="s">
        <v>174</v>
      </c>
      <c r="C2027" s="62">
        <f>VLOOKUP(B2027,合并仓明细!$D$2:$F$74,3,0)</f>
        <v>49</v>
      </c>
      <c r="D2027" t="s">
        <v>393</v>
      </c>
      <c r="E2027" s="47" t="s">
        <v>259</v>
      </c>
      <c r="F2027" s="49" t="s">
        <v>68</v>
      </c>
      <c r="G2027" s="50">
        <v>2874.2799999999997</v>
      </c>
      <c r="H2027" s="50">
        <v>6.3377700000000008</v>
      </c>
      <c r="I2027" s="46">
        <f>ROUNDUP(H2027/30,0)*VLOOKUP(D2027,'报价表-配送'!$B$61:$I$65,8,0)</f>
        <v>0</v>
      </c>
      <c r="J2027" s="38"/>
      <c r="K2027" s="38"/>
      <c r="L2027" s="57"/>
      <c r="M2027" s="37"/>
      <c r="N2027" s="38">
        <f t="shared" si="30"/>
        <v>0</v>
      </c>
      <c r="O2027" s="37"/>
    </row>
    <row r="2028" spans="1:15" x14ac:dyDescent="0.25">
      <c r="A2028" s="56" t="s">
        <v>241</v>
      </c>
      <c r="B2028" s="49" t="s">
        <v>174</v>
      </c>
      <c r="C2028" s="62">
        <f>VLOOKUP(B2028,合并仓明细!$D$2:$F$74,3,0)</f>
        <v>49</v>
      </c>
      <c r="D2028" t="s">
        <v>393</v>
      </c>
      <c r="E2028" s="47" t="s">
        <v>259</v>
      </c>
      <c r="F2028" s="48" t="s">
        <v>67</v>
      </c>
      <c r="G2028" s="37">
        <v>871.82999999999993</v>
      </c>
      <c r="H2028" s="37"/>
      <c r="I2028" s="38"/>
      <c r="J2028" s="38"/>
      <c r="K2028" s="38"/>
      <c r="L2028" s="57"/>
      <c r="M2028" s="37"/>
      <c r="N2028" s="38">
        <f t="shared" ref="N2028:N2091" si="31">SUM(I2028:M2028)</f>
        <v>0</v>
      </c>
      <c r="O2028" s="37"/>
    </row>
    <row r="2029" spans="1:15" x14ac:dyDescent="0.25">
      <c r="A2029" s="56" t="s">
        <v>241</v>
      </c>
      <c r="B2029" s="49" t="s">
        <v>174</v>
      </c>
      <c r="C2029" s="62">
        <f>VLOOKUP(B2029,合并仓明细!$D$2:$F$74,3,0)</f>
        <v>49</v>
      </c>
      <c r="D2029" t="s">
        <v>393</v>
      </c>
      <c r="E2029" s="47" t="s">
        <v>259</v>
      </c>
      <c r="F2029" s="48" t="s">
        <v>66</v>
      </c>
      <c r="G2029" s="37">
        <v>2591.6600000000008</v>
      </c>
      <c r="H2029" s="37"/>
      <c r="I2029" s="37"/>
      <c r="J2029" s="37"/>
      <c r="K2029" s="37"/>
      <c r="L2029" s="57"/>
      <c r="M2029" s="39"/>
      <c r="N2029" s="38">
        <f t="shared" si="31"/>
        <v>0</v>
      </c>
      <c r="O2029" s="37"/>
    </row>
    <row r="2030" spans="1:15" x14ac:dyDescent="0.25">
      <c r="A2030" s="56" t="s">
        <v>241</v>
      </c>
      <c r="B2030" s="49" t="s">
        <v>174</v>
      </c>
      <c r="C2030" s="62">
        <f>VLOOKUP(B2030,合并仓明细!$D$2:$F$74,3,0)</f>
        <v>49</v>
      </c>
      <c r="D2030" t="s">
        <v>393</v>
      </c>
      <c r="E2030" s="47" t="s">
        <v>322</v>
      </c>
      <c r="F2030" s="48" t="s">
        <v>67</v>
      </c>
      <c r="G2030" s="37">
        <v>9947.9300000000021</v>
      </c>
      <c r="H2030" s="38">
        <v>10.004950000000003</v>
      </c>
      <c r="I2030" s="38">
        <f>IF(H2030&gt;30,QUOTIENT(H2030,30)*VLOOKUP(D2030,'报价表-配送'!$B$61:$I$65,8,0),0)+IF(AND(MOD(H2030,30)&gt;18,MOD(H2030,30)&lt;=30),1,0)*VLOOKUP(D2030,'报价表-配送'!$B$61:$I$65,8,0)</f>
        <v>0</v>
      </c>
      <c r="J2030" s="38">
        <f>IF(AND(MOD(H2030,30)&gt;8,MOD(H2030,30)&lt;=18),1*VLOOKUP(D2030,'报价表-配送'!$B$61:$I$65,7,0),0)</f>
        <v>0</v>
      </c>
      <c r="K2030" s="38">
        <f>IF(AND(MOD(H2030,30)&lt;=8,MOD(H2030,30)&gt;0),1,0)*VLOOKUP(D2030,'报价表-配送'!$B$61:$I$65,6,0)</f>
        <v>0</v>
      </c>
      <c r="L2030" s="57"/>
      <c r="M2030" s="39"/>
      <c r="N2030" s="38">
        <f t="shared" si="31"/>
        <v>0</v>
      </c>
      <c r="O2030" s="37"/>
    </row>
    <row r="2031" spans="1:15" x14ac:dyDescent="0.25">
      <c r="A2031" s="56" t="s">
        <v>241</v>
      </c>
      <c r="B2031" s="49" t="s">
        <v>174</v>
      </c>
      <c r="C2031" s="62">
        <f>VLOOKUP(B2031,合并仓明细!$D$2:$F$74,3,0)</f>
        <v>49</v>
      </c>
      <c r="D2031" t="s">
        <v>393</v>
      </c>
      <c r="E2031" s="47" t="s">
        <v>322</v>
      </c>
      <c r="F2031" s="48" t="s">
        <v>66</v>
      </c>
      <c r="G2031" s="37">
        <v>57.02</v>
      </c>
      <c r="H2031" s="38"/>
      <c r="I2031" s="37"/>
      <c r="J2031" s="37"/>
      <c r="K2031" s="37"/>
      <c r="L2031" s="57"/>
      <c r="M2031" s="39"/>
      <c r="N2031" s="38">
        <f t="shared" si="31"/>
        <v>0</v>
      </c>
      <c r="O2031" s="37"/>
    </row>
    <row r="2032" spans="1:15" x14ac:dyDescent="0.25">
      <c r="A2032" s="56" t="s">
        <v>241</v>
      </c>
      <c r="B2032" s="49" t="s">
        <v>174</v>
      </c>
      <c r="C2032" s="62">
        <f>VLOOKUP(B2032,合并仓明细!$D$2:$F$74,3,0)</f>
        <v>49</v>
      </c>
      <c r="D2032" t="s">
        <v>393</v>
      </c>
      <c r="E2032" s="47" t="s">
        <v>336</v>
      </c>
      <c r="F2032" s="48" t="s">
        <v>67</v>
      </c>
      <c r="G2032" s="37">
        <v>1369.62</v>
      </c>
      <c r="H2032" s="38">
        <v>1.9755</v>
      </c>
      <c r="I2032" s="38">
        <f>IF(H2032&gt;30,QUOTIENT(H2032,30)*VLOOKUP(D2032,'报价表-配送'!$B$61:$I$65,8,0),0)+IF(AND(MOD(H2032,30)&gt;18,MOD(H2032,30)&lt;=30),1,0)*VLOOKUP(D2032,'报价表-配送'!$B$61:$I$65,8,0)</f>
        <v>0</v>
      </c>
      <c r="J2032" s="38">
        <f>IF(AND(MOD(H2032,30)&gt;8,MOD(H2032,30)&lt;=18),1*VLOOKUP(D2032,'报价表-配送'!$B$61:$I$65,7,0),0)</f>
        <v>0</v>
      </c>
      <c r="K2032" s="38">
        <f>IF(AND(MOD(H2032,30)&lt;=8,MOD(H2032,30)&gt;0),1,0)*VLOOKUP(D2032,'报价表-配送'!$B$61:$I$65,6,0)</f>
        <v>0</v>
      </c>
      <c r="L2032" s="57"/>
      <c r="M2032" s="39"/>
      <c r="N2032" s="38">
        <f t="shared" si="31"/>
        <v>0</v>
      </c>
    </row>
    <row r="2033" spans="1:15" x14ac:dyDescent="0.25">
      <c r="A2033" s="56" t="s">
        <v>241</v>
      </c>
      <c r="B2033" s="49" t="s">
        <v>174</v>
      </c>
      <c r="C2033" s="62">
        <f>VLOOKUP(B2033,合并仓明细!$D$2:$F$74,3,0)</f>
        <v>49</v>
      </c>
      <c r="D2033" t="s">
        <v>393</v>
      </c>
      <c r="E2033" s="47" t="s">
        <v>336</v>
      </c>
      <c r="F2033" s="48" t="s">
        <v>66</v>
      </c>
      <c r="G2033" s="37">
        <v>605.88</v>
      </c>
      <c r="H2033" s="38"/>
      <c r="L2033" s="57"/>
      <c r="M2033" s="39"/>
      <c r="N2033" s="38">
        <f t="shared" si="31"/>
        <v>0</v>
      </c>
    </row>
    <row r="2034" spans="1:15" x14ac:dyDescent="0.25">
      <c r="A2034" s="56" t="s">
        <v>241</v>
      </c>
      <c r="B2034" s="49" t="s">
        <v>174</v>
      </c>
      <c r="C2034" s="62">
        <f>VLOOKUP(B2034,合并仓明细!$D$2:$F$74,3,0)</f>
        <v>49</v>
      </c>
      <c r="D2034" t="s">
        <v>393</v>
      </c>
      <c r="E2034" s="47" t="s">
        <v>274</v>
      </c>
      <c r="F2034" s="48" t="s">
        <v>68</v>
      </c>
      <c r="G2034" s="37">
        <v>5031.8500000000013</v>
      </c>
      <c r="H2034" s="37">
        <v>16.06044</v>
      </c>
      <c r="I2034" s="46">
        <f>ROUNDUP(H2034/30,0)*VLOOKUP(D2034,'报价表-配送'!$B$61:$I$65,8,0)</f>
        <v>0</v>
      </c>
      <c r="J2034" s="37"/>
      <c r="K2034" s="37"/>
      <c r="L2034" s="57"/>
      <c r="M2034" s="39"/>
      <c r="N2034" s="38">
        <f t="shared" si="31"/>
        <v>0</v>
      </c>
    </row>
    <row r="2035" spans="1:15" x14ac:dyDescent="0.25">
      <c r="A2035" s="56" t="s">
        <v>241</v>
      </c>
      <c r="B2035" s="49" t="s">
        <v>174</v>
      </c>
      <c r="C2035" s="62">
        <f>VLOOKUP(B2035,合并仓明细!$D$2:$F$74,3,0)</f>
        <v>49</v>
      </c>
      <c r="D2035" t="s">
        <v>393</v>
      </c>
      <c r="E2035" s="47" t="s">
        <v>274</v>
      </c>
      <c r="F2035" s="48" t="s">
        <v>67</v>
      </c>
      <c r="G2035" s="37">
        <v>9170.2199999999993</v>
      </c>
      <c r="H2035" s="38"/>
      <c r="I2035" s="37"/>
      <c r="J2035" s="37"/>
      <c r="K2035" s="37"/>
      <c r="L2035" s="57"/>
      <c r="M2035" s="39"/>
      <c r="N2035" s="38">
        <f t="shared" si="31"/>
        <v>0</v>
      </c>
    </row>
    <row r="2036" spans="1:15" x14ac:dyDescent="0.25">
      <c r="A2036" s="56" t="s">
        <v>241</v>
      </c>
      <c r="B2036" s="49" t="s">
        <v>174</v>
      </c>
      <c r="C2036" s="62">
        <f>VLOOKUP(B2036,合并仓明细!$D$2:$F$74,3,0)</f>
        <v>49</v>
      </c>
      <c r="D2036" t="s">
        <v>393</v>
      </c>
      <c r="E2036" s="47" t="s">
        <v>274</v>
      </c>
      <c r="F2036" s="48" t="s">
        <v>66</v>
      </c>
      <c r="G2036" s="37">
        <v>1858.3700000000003</v>
      </c>
      <c r="H2036" s="38"/>
      <c r="I2036" s="37"/>
      <c r="J2036" s="37"/>
      <c r="K2036" s="37"/>
      <c r="L2036" s="57"/>
      <c r="M2036" s="39"/>
      <c r="N2036" s="38">
        <f t="shared" si="31"/>
        <v>0</v>
      </c>
    </row>
    <row r="2037" spans="1:15" x14ac:dyDescent="0.25">
      <c r="A2037" s="56" t="s">
        <v>241</v>
      </c>
      <c r="B2037" s="49" t="s">
        <v>174</v>
      </c>
      <c r="C2037" s="62">
        <f>VLOOKUP(B2037,合并仓明细!$D$2:$F$74,3,0)</f>
        <v>49</v>
      </c>
      <c r="D2037" t="s">
        <v>393</v>
      </c>
      <c r="E2037" s="47" t="s">
        <v>351</v>
      </c>
      <c r="F2037" s="48" t="s">
        <v>68</v>
      </c>
      <c r="G2037" s="37">
        <v>26.18</v>
      </c>
      <c r="H2037" s="38">
        <v>1.9695499999999997</v>
      </c>
      <c r="I2037" s="46">
        <f>ROUNDUP(H2037/30,0)*VLOOKUP(D2037,'报价表-配送'!$B$61:$I$65,8,0)</f>
        <v>0</v>
      </c>
      <c r="J2037" s="37"/>
      <c r="K2037" s="37"/>
      <c r="L2037" s="57"/>
      <c r="M2037" s="39"/>
      <c r="N2037" s="38">
        <f t="shared" si="31"/>
        <v>0</v>
      </c>
    </row>
    <row r="2038" spans="1:15" x14ac:dyDescent="0.25">
      <c r="A2038" s="37" t="s">
        <v>241</v>
      </c>
      <c r="B2038" s="37" t="s">
        <v>174</v>
      </c>
      <c r="C2038" s="62">
        <f>VLOOKUP(B2038,合并仓明细!$D$2:$F$74,3,0)</f>
        <v>49</v>
      </c>
      <c r="D2038" t="s">
        <v>393</v>
      </c>
      <c r="E2038" s="41" t="s">
        <v>351</v>
      </c>
      <c r="F2038" s="40" t="s">
        <v>67</v>
      </c>
      <c r="G2038" s="37">
        <v>1292.08</v>
      </c>
      <c r="H2038" s="37"/>
      <c r="I2038" s="38"/>
      <c r="J2038" s="38"/>
      <c r="K2038" s="38"/>
      <c r="L2038" s="37"/>
      <c r="M2038" s="37"/>
      <c r="N2038" s="38">
        <f t="shared" si="31"/>
        <v>0</v>
      </c>
      <c r="O2038" s="37"/>
    </row>
    <row r="2039" spans="1:15" x14ac:dyDescent="0.25">
      <c r="A2039" s="37" t="s">
        <v>241</v>
      </c>
      <c r="B2039" s="37" t="s">
        <v>174</v>
      </c>
      <c r="C2039" s="62">
        <f>VLOOKUP(B2039,合并仓明细!$D$2:$F$74,3,0)</f>
        <v>49</v>
      </c>
      <c r="D2039" t="s">
        <v>393</v>
      </c>
      <c r="E2039" s="41" t="s">
        <v>351</v>
      </c>
      <c r="F2039" s="40" t="s">
        <v>66</v>
      </c>
      <c r="G2039" s="37">
        <v>651.28999999999985</v>
      </c>
      <c r="H2039" s="37"/>
      <c r="I2039" s="38"/>
      <c r="J2039" s="38"/>
      <c r="K2039" s="38"/>
      <c r="L2039" s="37"/>
      <c r="M2039" s="37"/>
      <c r="N2039" s="38">
        <f t="shared" si="31"/>
        <v>0</v>
      </c>
      <c r="O2039" s="37"/>
    </row>
    <row r="2040" spans="1:15" x14ac:dyDescent="0.25">
      <c r="A2040" s="37" t="s">
        <v>241</v>
      </c>
      <c r="B2040" s="37" t="s">
        <v>174</v>
      </c>
      <c r="C2040" s="62">
        <f>VLOOKUP(B2040,合并仓明细!$D$2:$F$74,3,0)</f>
        <v>49</v>
      </c>
      <c r="D2040" t="s">
        <v>393</v>
      </c>
      <c r="E2040" s="41" t="s">
        <v>275</v>
      </c>
      <c r="F2040" s="40" t="s">
        <v>68</v>
      </c>
      <c r="G2040" s="37">
        <v>907.52</v>
      </c>
      <c r="H2040" s="38">
        <v>7.7052300000000002</v>
      </c>
      <c r="I2040" s="46">
        <f>ROUNDUP(H2040/30,0)*VLOOKUP(D2040,'报价表-配送'!$B$61:$I$65,8,0)</f>
        <v>0</v>
      </c>
      <c r="J2040" s="37"/>
      <c r="K2040" s="37"/>
      <c r="L2040" s="37"/>
      <c r="M2040" s="39"/>
      <c r="N2040" s="38">
        <f t="shared" si="31"/>
        <v>0</v>
      </c>
      <c r="O2040" s="37"/>
    </row>
    <row r="2041" spans="1:15" x14ac:dyDescent="0.25">
      <c r="A2041" s="37" t="s">
        <v>241</v>
      </c>
      <c r="B2041" s="37" t="s">
        <v>174</v>
      </c>
      <c r="C2041" s="62">
        <f>VLOOKUP(B2041,合并仓明细!$D$2:$F$74,3,0)</f>
        <v>49</v>
      </c>
      <c r="D2041" t="s">
        <v>393</v>
      </c>
      <c r="E2041" s="41" t="s">
        <v>275</v>
      </c>
      <c r="F2041" s="40" t="s">
        <v>67</v>
      </c>
      <c r="G2041" s="37">
        <v>6763.1600000000008</v>
      </c>
      <c r="H2041" s="38"/>
      <c r="I2041" s="37"/>
      <c r="J2041" s="37"/>
      <c r="K2041" s="37"/>
      <c r="L2041" s="37"/>
      <c r="M2041" s="39"/>
      <c r="N2041" s="38">
        <f t="shared" si="31"/>
        <v>0</v>
      </c>
      <c r="O2041" s="37"/>
    </row>
    <row r="2042" spans="1:15" x14ac:dyDescent="0.25">
      <c r="A2042" s="37" t="s">
        <v>241</v>
      </c>
      <c r="B2042" s="37" t="s">
        <v>174</v>
      </c>
      <c r="C2042" s="62">
        <f>VLOOKUP(B2042,合并仓明细!$D$2:$F$74,3,0)</f>
        <v>49</v>
      </c>
      <c r="D2042" t="s">
        <v>393</v>
      </c>
      <c r="E2042" s="41" t="s">
        <v>275</v>
      </c>
      <c r="F2042" s="40" t="s">
        <v>66</v>
      </c>
      <c r="G2042" s="37">
        <v>34.549999999999997</v>
      </c>
      <c r="H2042" s="38"/>
      <c r="I2042" s="37"/>
      <c r="J2042" s="37"/>
      <c r="K2042" s="37"/>
      <c r="L2042" s="37"/>
      <c r="M2042" s="39"/>
      <c r="N2042" s="38">
        <f t="shared" si="31"/>
        <v>0</v>
      </c>
      <c r="O2042" s="37"/>
    </row>
    <row r="2043" spans="1:15" x14ac:dyDescent="0.25">
      <c r="A2043" s="37" t="s">
        <v>241</v>
      </c>
      <c r="B2043" s="37" t="s">
        <v>174</v>
      </c>
      <c r="C2043" s="62">
        <f>VLOOKUP(B2043,合并仓明细!$D$2:$F$74,3,0)</f>
        <v>49</v>
      </c>
      <c r="D2043" t="s">
        <v>393</v>
      </c>
      <c r="E2043" s="41" t="s">
        <v>346</v>
      </c>
      <c r="F2043" s="40" t="s">
        <v>68</v>
      </c>
      <c r="G2043" s="37">
        <v>1011.44</v>
      </c>
      <c r="H2043" s="38">
        <v>6.3593899999999994</v>
      </c>
      <c r="I2043" s="46">
        <f>ROUNDUP(H2043/30,0)*VLOOKUP(D2043,'报价表-配送'!$B$61:$I$65,8,0)</f>
        <v>0</v>
      </c>
      <c r="J2043" s="37"/>
      <c r="K2043" s="37"/>
      <c r="L2043" s="37"/>
      <c r="M2043" s="39"/>
      <c r="N2043" s="38">
        <f t="shared" si="31"/>
        <v>0</v>
      </c>
      <c r="O2043" s="37"/>
    </row>
    <row r="2044" spans="1:15" x14ac:dyDescent="0.25">
      <c r="A2044" s="37" t="s">
        <v>241</v>
      </c>
      <c r="B2044" s="37" t="s">
        <v>174</v>
      </c>
      <c r="C2044" s="62">
        <f>VLOOKUP(B2044,合并仓明细!$D$2:$F$74,3,0)</f>
        <v>49</v>
      </c>
      <c r="D2044" t="s">
        <v>393</v>
      </c>
      <c r="E2044" s="41" t="s">
        <v>346</v>
      </c>
      <c r="F2044" s="40" t="s">
        <v>67</v>
      </c>
      <c r="G2044" s="37">
        <v>5074.62</v>
      </c>
      <c r="H2044" s="37"/>
      <c r="I2044" s="38"/>
      <c r="J2044" s="38"/>
      <c r="K2044" s="38"/>
      <c r="L2044" s="37"/>
      <c r="M2044" s="37"/>
      <c r="N2044" s="38">
        <f t="shared" si="31"/>
        <v>0</v>
      </c>
      <c r="O2044" s="37"/>
    </row>
    <row r="2045" spans="1:15" x14ac:dyDescent="0.25">
      <c r="A2045" s="37" t="s">
        <v>241</v>
      </c>
      <c r="B2045" s="37" t="s">
        <v>174</v>
      </c>
      <c r="C2045" s="62">
        <f>VLOOKUP(B2045,合并仓明细!$D$2:$F$74,3,0)</f>
        <v>49</v>
      </c>
      <c r="D2045" t="s">
        <v>393</v>
      </c>
      <c r="E2045" s="41" t="s">
        <v>346</v>
      </c>
      <c r="F2045" s="40" t="s">
        <v>66</v>
      </c>
      <c r="G2045" s="37">
        <v>273.33000000000004</v>
      </c>
      <c r="H2045" s="37"/>
      <c r="I2045" s="38"/>
      <c r="J2045" s="38"/>
      <c r="K2045" s="38"/>
      <c r="L2045" s="37"/>
      <c r="M2045" s="37"/>
      <c r="N2045" s="38">
        <f t="shared" si="31"/>
        <v>0</v>
      </c>
      <c r="O2045" s="37"/>
    </row>
    <row r="2046" spans="1:15" x14ac:dyDescent="0.25">
      <c r="A2046" s="37" t="s">
        <v>241</v>
      </c>
      <c r="B2046" s="37" t="s">
        <v>174</v>
      </c>
      <c r="C2046" s="62">
        <f>VLOOKUP(B2046,合并仓明细!$D$2:$F$74,3,0)</f>
        <v>49</v>
      </c>
      <c r="D2046" t="s">
        <v>393</v>
      </c>
      <c r="E2046" s="41" t="s">
        <v>276</v>
      </c>
      <c r="F2046" s="40" t="s">
        <v>68</v>
      </c>
      <c r="G2046" s="37">
        <v>25.54</v>
      </c>
      <c r="H2046" s="38">
        <v>1.01149</v>
      </c>
      <c r="I2046" s="46">
        <f>ROUNDUP(H2046/30,0)*VLOOKUP(D2046,'报价表-配送'!$B$61:$I$65,8,0)</f>
        <v>0</v>
      </c>
      <c r="J2046" s="37"/>
      <c r="K2046" s="37"/>
      <c r="L2046" s="37"/>
      <c r="M2046" s="39"/>
      <c r="N2046" s="38">
        <f t="shared" si="31"/>
        <v>0</v>
      </c>
      <c r="O2046" s="37"/>
    </row>
    <row r="2047" spans="1:15" x14ac:dyDescent="0.25">
      <c r="A2047" s="37" t="s">
        <v>241</v>
      </c>
      <c r="B2047" s="37" t="s">
        <v>174</v>
      </c>
      <c r="C2047" s="62">
        <f>VLOOKUP(B2047,合并仓明细!$D$2:$F$74,3,0)</f>
        <v>49</v>
      </c>
      <c r="D2047" t="s">
        <v>393</v>
      </c>
      <c r="E2047" s="41" t="s">
        <v>276</v>
      </c>
      <c r="F2047" s="40" t="s">
        <v>67</v>
      </c>
      <c r="G2047" s="37">
        <v>760.43000000000006</v>
      </c>
      <c r="H2047" s="38"/>
      <c r="I2047" s="37"/>
      <c r="J2047" s="37"/>
      <c r="K2047" s="37"/>
      <c r="L2047" s="37"/>
      <c r="M2047" s="39"/>
      <c r="N2047" s="38">
        <f t="shared" si="31"/>
        <v>0</v>
      </c>
      <c r="O2047" s="37"/>
    </row>
    <row r="2048" spans="1:15" x14ac:dyDescent="0.25">
      <c r="A2048" s="37" t="s">
        <v>241</v>
      </c>
      <c r="B2048" s="37" t="s">
        <v>174</v>
      </c>
      <c r="C2048" s="62">
        <f>VLOOKUP(B2048,合并仓明细!$D$2:$F$74,3,0)</f>
        <v>49</v>
      </c>
      <c r="D2048" t="s">
        <v>393</v>
      </c>
      <c r="E2048" s="41" t="s">
        <v>276</v>
      </c>
      <c r="F2048" s="40" t="s">
        <v>66</v>
      </c>
      <c r="G2048" s="37">
        <v>225.51999999999998</v>
      </c>
      <c r="H2048" s="38"/>
      <c r="I2048" s="37"/>
      <c r="J2048" s="37"/>
      <c r="K2048" s="37"/>
      <c r="L2048" s="37"/>
      <c r="M2048" s="39"/>
      <c r="N2048" s="38">
        <f t="shared" si="31"/>
        <v>0</v>
      </c>
      <c r="O2048" s="37"/>
    </row>
    <row r="2049" spans="1:15" x14ac:dyDescent="0.25">
      <c r="A2049" s="37" t="s">
        <v>241</v>
      </c>
      <c r="B2049" s="37" t="s">
        <v>174</v>
      </c>
      <c r="C2049" s="62">
        <f>VLOOKUP(B2049,合并仓明细!$D$2:$F$74,3,0)</f>
        <v>49</v>
      </c>
      <c r="D2049" t="s">
        <v>393</v>
      </c>
      <c r="E2049" s="41" t="s">
        <v>310</v>
      </c>
      <c r="F2049" s="40" t="s">
        <v>68</v>
      </c>
      <c r="G2049" s="37">
        <v>3676.38</v>
      </c>
      <c r="H2049" s="38">
        <v>17.68421</v>
      </c>
      <c r="I2049" s="46">
        <f>ROUNDUP(H2049/30,0)*VLOOKUP(D2049,'报价表-配送'!$B$61:$I$65,8,0)</f>
        <v>0</v>
      </c>
      <c r="J2049" s="37"/>
      <c r="K2049" s="37"/>
      <c r="L2049" s="37"/>
      <c r="M2049" s="39"/>
      <c r="N2049" s="38">
        <f t="shared" si="31"/>
        <v>0</v>
      </c>
      <c r="O2049" s="37"/>
    </row>
    <row r="2050" spans="1:15" x14ac:dyDescent="0.25">
      <c r="A2050" s="37" t="s">
        <v>241</v>
      </c>
      <c r="B2050" s="37" t="s">
        <v>174</v>
      </c>
      <c r="C2050" s="62">
        <f>VLOOKUP(B2050,合并仓明细!$D$2:$F$74,3,0)</f>
        <v>49</v>
      </c>
      <c r="D2050" t="s">
        <v>393</v>
      </c>
      <c r="E2050" s="41" t="s">
        <v>310</v>
      </c>
      <c r="F2050" s="40" t="s">
        <v>67</v>
      </c>
      <c r="G2050" s="37">
        <v>12636.189999999999</v>
      </c>
      <c r="H2050" s="37"/>
      <c r="I2050" s="38"/>
      <c r="J2050" s="38"/>
      <c r="K2050" s="38"/>
      <c r="L2050" s="37"/>
      <c r="M2050" s="37"/>
      <c r="N2050" s="38">
        <f t="shared" si="31"/>
        <v>0</v>
      </c>
      <c r="O2050" s="37"/>
    </row>
    <row r="2051" spans="1:15" x14ac:dyDescent="0.25">
      <c r="A2051" s="37" t="s">
        <v>241</v>
      </c>
      <c r="B2051" s="37" t="s">
        <v>174</v>
      </c>
      <c r="C2051" s="62">
        <f>VLOOKUP(B2051,合并仓明细!$D$2:$F$74,3,0)</f>
        <v>49</v>
      </c>
      <c r="D2051" t="s">
        <v>393</v>
      </c>
      <c r="E2051" s="41" t="s">
        <v>310</v>
      </c>
      <c r="F2051" s="40" t="s">
        <v>66</v>
      </c>
      <c r="G2051" s="37">
        <v>1371.6399999999996</v>
      </c>
      <c r="H2051" s="37"/>
      <c r="I2051" s="38"/>
      <c r="J2051" s="38"/>
      <c r="K2051" s="38"/>
      <c r="L2051" s="37"/>
      <c r="M2051" s="37"/>
      <c r="N2051" s="38">
        <f t="shared" si="31"/>
        <v>0</v>
      </c>
      <c r="O2051" s="37"/>
    </row>
    <row r="2052" spans="1:15" x14ac:dyDescent="0.25">
      <c r="A2052" s="37" t="s">
        <v>241</v>
      </c>
      <c r="B2052" s="37" t="s">
        <v>174</v>
      </c>
      <c r="C2052" s="62">
        <f>VLOOKUP(B2052,合并仓明细!$D$2:$F$74,3,0)</f>
        <v>49</v>
      </c>
      <c r="D2052" t="s">
        <v>393</v>
      </c>
      <c r="E2052" s="41" t="s">
        <v>277</v>
      </c>
      <c r="F2052" s="40" t="s">
        <v>68</v>
      </c>
      <c r="G2052" s="37">
        <v>25.54</v>
      </c>
      <c r="H2052" s="38">
        <v>8.4095800000000018</v>
      </c>
      <c r="I2052" s="46">
        <f>ROUNDUP(H2052/30,0)*VLOOKUP(D2052,'报价表-配送'!$B$61:$I$65,8,0)</f>
        <v>0</v>
      </c>
      <c r="J2052" s="37"/>
      <c r="K2052" s="37"/>
      <c r="L2052" s="37"/>
      <c r="M2052" s="39"/>
      <c r="N2052" s="38">
        <f t="shared" si="31"/>
        <v>0</v>
      </c>
      <c r="O2052" s="37"/>
    </row>
    <row r="2053" spans="1:15" x14ac:dyDescent="0.25">
      <c r="A2053" s="37" t="s">
        <v>241</v>
      </c>
      <c r="B2053" s="44" t="s">
        <v>174</v>
      </c>
      <c r="C2053" s="62">
        <f>VLOOKUP(B2053,合并仓明细!$D$2:$F$74,3,0)</f>
        <v>49</v>
      </c>
      <c r="D2053" t="s">
        <v>393</v>
      </c>
      <c r="E2053" s="43" t="s">
        <v>277</v>
      </c>
      <c r="F2053" t="s">
        <v>67</v>
      </c>
      <c r="G2053" s="42">
        <v>8282.34</v>
      </c>
      <c r="H2053"/>
      <c r="N2053" s="38">
        <f t="shared" si="31"/>
        <v>0</v>
      </c>
    </row>
    <row r="2054" spans="1:15" x14ac:dyDescent="0.25">
      <c r="A2054" s="37" t="s">
        <v>241</v>
      </c>
      <c r="B2054" s="43" t="s">
        <v>174</v>
      </c>
      <c r="C2054" s="62">
        <f>VLOOKUP(B2054,合并仓明细!$D$2:$F$74,3,0)</f>
        <v>49</v>
      </c>
      <c r="D2054" t="s">
        <v>393</v>
      </c>
      <c r="E2054" s="43" t="s">
        <v>277</v>
      </c>
      <c r="F2054" t="s">
        <v>66</v>
      </c>
      <c r="G2054" s="42">
        <v>101.70000000000002</v>
      </c>
      <c r="H2054"/>
      <c r="N2054" s="38">
        <f t="shared" si="31"/>
        <v>0</v>
      </c>
    </row>
    <row r="2055" spans="1:15" x14ac:dyDescent="0.25">
      <c r="A2055" s="37" t="s">
        <v>241</v>
      </c>
      <c r="B2055" s="43" t="s">
        <v>174</v>
      </c>
      <c r="C2055" s="62">
        <f>VLOOKUP(B2055,合并仓明细!$D$2:$F$74,3,0)</f>
        <v>49</v>
      </c>
      <c r="D2055" t="s">
        <v>393</v>
      </c>
      <c r="E2055" s="43" t="s">
        <v>361</v>
      </c>
      <c r="F2055" t="s">
        <v>66</v>
      </c>
      <c r="G2055" s="42">
        <v>22.09</v>
      </c>
      <c r="H2055">
        <v>2.2089999999999999E-2</v>
      </c>
      <c r="L2055" s="37">
        <f>IF(H2055&gt;30,QUOTIENT(H2055,30)*VLOOKUP(D2055,'报价表-配送'!$B$61:$I$65,8,0),0)+IF(AND(MOD(H2055,30)&gt;18,MOD(H2055,30)&lt;=30),1,0)*VLOOKUP(D2055,'报价表-配送'!$B$61:$I$65,8,0)+IF(AND(MOD(H2055,30)&gt;8,MOD(H2055,30)&lt;=18),1*VLOOKUP(D2055,'报价表-配送'!$B$61:$I$65,7,0),0)+IF(AND(MOD(H2055,30)&lt;=8,MOD(H2055,30)&gt;2.5),1,0)*VLOOKUP(D2055,'报价表-配送'!$B$61:$I$65,6,0)+IF(AND(MOD(H2055,30)&lt;=2.5,MOD(H2055,30)&gt;=1.5),1,0)*VLOOKUP(D2055,'报价表-配送'!$B$61:$I$65,5,0)</f>
        <v>0</v>
      </c>
      <c r="M2055" s="39">
        <f>IF(AND(MOD(H2055,30)&lt;1.5,MOD(H2055,30)&gt;=0.5),H2055,0)*VLOOKUP(D2055,'报价表-配送'!$B$61:$I$65,4,0)*1000+IF(AND(MOD(H2055,30)&lt;0.5,MOD(H2055,30)&gt;=0.02),H2055,0)*VLOOKUP(D2055,'报价表-配送'!$B$61:$I$65,3,0)*1000+IF(AND(MOD(H2055,30)&lt;0.02),H2055,0)*VLOOKUP(D2055,'报价表-配送'!$B$61:$I$65,2,0)*1000</f>
        <v>0</v>
      </c>
      <c r="N2055" s="38">
        <f t="shared" si="31"/>
        <v>0</v>
      </c>
    </row>
    <row r="2056" spans="1:15" x14ac:dyDescent="0.25">
      <c r="A2056" s="37" t="s">
        <v>241</v>
      </c>
      <c r="B2056" s="43" t="s">
        <v>174</v>
      </c>
      <c r="C2056" s="62">
        <f>VLOOKUP(B2056,合并仓明细!$D$2:$F$74,3,0)</f>
        <v>49</v>
      </c>
      <c r="D2056" t="s">
        <v>393</v>
      </c>
      <c r="E2056" s="43" t="s">
        <v>381</v>
      </c>
      <c r="F2056" t="s">
        <v>66</v>
      </c>
      <c r="G2056" s="42">
        <v>99.22</v>
      </c>
      <c r="H2056">
        <v>9.9220000000000003E-2</v>
      </c>
      <c r="L2056" s="37">
        <f>IF(H2056&gt;30,QUOTIENT(H2056,30)*VLOOKUP(D2056,'报价表-配送'!$B$61:$I$65,8,0),0)+IF(AND(MOD(H2056,30)&gt;18,MOD(H2056,30)&lt;=30),1,0)*VLOOKUP(D2056,'报价表-配送'!$B$61:$I$65,8,0)+IF(AND(MOD(H2056,30)&gt;8,MOD(H2056,30)&lt;=18),1*VLOOKUP(D2056,'报价表-配送'!$B$61:$I$65,7,0),0)+IF(AND(MOD(H2056,30)&lt;=8,MOD(H2056,30)&gt;2.5),1,0)*VLOOKUP(D2056,'报价表-配送'!$B$61:$I$65,6,0)+IF(AND(MOD(H2056,30)&lt;=2.5,MOD(H2056,30)&gt;=1.5),1,0)*VLOOKUP(D2056,'报价表-配送'!$B$61:$I$65,5,0)</f>
        <v>0</v>
      </c>
      <c r="M2056" s="39">
        <f>IF(AND(MOD(H2056,30)&lt;1.5,MOD(H2056,30)&gt;=0.5),H2056,0)*VLOOKUP(D2056,'报价表-配送'!$B$61:$I$65,4,0)*1000+IF(AND(MOD(H2056,30)&lt;0.5,MOD(H2056,30)&gt;=0.02),H2056,0)*VLOOKUP(D2056,'报价表-配送'!$B$61:$I$65,3,0)*1000+IF(AND(MOD(H2056,30)&lt;0.02),H2056,0)*VLOOKUP(D2056,'报价表-配送'!$B$61:$I$65,2,0)*1000</f>
        <v>0</v>
      </c>
      <c r="N2056" s="38">
        <f t="shared" si="31"/>
        <v>0</v>
      </c>
    </row>
    <row r="2057" spans="1:15" x14ac:dyDescent="0.25">
      <c r="A2057" s="37" t="s">
        <v>241</v>
      </c>
      <c r="B2057" s="43" t="s">
        <v>174</v>
      </c>
      <c r="C2057" s="62">
        <f>VLOOKUP(B2057,合并仓明细!$D$2:$F$74,3,0)</f>
        <v>49</v>
      </c>
      <c r="D2057" t="s">
        <v>393</v>
      </c>
      <c r="E2057" s="43" t="s">
        <v>278</v>
      </c>
      <c r="F2057" t="s">
        <v>67</v>
      </c>
      <c r="G2057" s="42">
        <v>96.83</v>
      </c>
      <c r="H2057">
        <v>0.41552</v>
      </c>
      <c r="I2057" s="38">
        <f>IF(H2057&gt;30,QUOTIENT(H2057,30)*VLOOKUP(D2057,'报价表-配送'!$B$61:$I$65,8,0),0)+IF(AND(MOD(H2057,30)&gt;18,MOD(H2057,30)&lt;=30),1,0)*VLOOKUP(D2057,'报价表-配送'!$B$61:$I$65,8,0)</f>
        <v>0</v>
      </c>
      <c r="J2057" s="38">
        <f>IF(AND(MOD(H2057,30)&gt;8,MOD(H2057,30)&lt;=18),1*VLOOKUP(D2057,'报价表-配送'!$B$61:$I$65,7,0),0)</f>
        <v>0</v>
      </c>
      <c r="K2057" s="38">
        <f>IF(AND(MOD(H2057,30)&lt;=8,MOD(H2057,30)&gt;0),1,0)*VLOOKUP(D2057,'报价表-配送'!$B$61:$I$65,6,0)</f>
        <v>0</v>
      </c>
      <c r="N2057" s="38">
        <f t="shared" si="31"/>
        <v>0</v>
      </c>
    </row>
    <row r="2058" spans="1:15" x14ac:dyDescent="0.25">
      <c r="A2058" s="37" t="s">
        <v>241</v>
      </c>
      <c r="B2058" s="43" t="s">
        <v>174</v>
      </c>
      <c r="C2058" s="62">
        <f>VLOOKUP(B2058,合并仓明细!$D$2:$F$74,3,0)</f>
        <v>49</v>
      </c>
      <c r="D2058" t="s">
        <v>393</v>
      </c>
      <c r="E2058" s="43" t="s">
        <v>278</v>
      </c>
      <c r="F2058" t="s">
        <v>66</v>
      </c>
      <c r="G2058" s="42">
        <v>318.69</v>
      </c>
      <c r="H2058"/>
      <c r="N2058" s="38">
        <f t="shared" si="31"/>
        <v>0</v>
      </c>
    </row>
    <row r="2059" spans="1:15" x14ac:dyDescent="0.25">
      <c r="A2059" s="37" t="s">
        <v>241</v>
      </c>
      <c r="B2059" s="43" t="s">
        <v>174</v>
      </c>
      <c r="C2059" s="62">
        <f>VLOOKUP(B2059,合并仓明细!$D$2:$F$74,3,0)</f>
        <v>49</v>
      </c>
      <c r="D2059" t="s">
        <v>393</v>
      </c>
      <c r="E2059" s="43" t="s">
        <v>311</v>
      </c>
      <c r="F2059" t="s">
        <v>68</v>
      </c>
      <c r="G2059" s="42">
        <v>1098.3499999999999</v>
      </c>
      <c r="H2059">
        <v>4.4065600000000007</v>
      </c>
      <c r="I2059" s="46">
        <f>ROUNDUP(H2059/30,0)*VLOOKUP(D2059,'报价表-配送'!$B$61:$I$65,8,0)</f>
        <v>0</v>
      </c>
      <c r="N2059" s="38">
        <f t="shared" si="31"/>
        <v>0</v>
      </c>
    </row>
    <row r="2060" spans="1:15" x14ac:dyDescent="0.25">
      <c r="A2060" s="37" t="s">
        <v>241</v>
      </c>
      <c r="B2060" s="43" t="s">
        <v>174</v>
      </c>
      <c r="C2060" s="62">
        <f>VLOOKUP(B2060,合并仓明细!$D$2:$F$74,3,0)</f>
        <v>49</v>
      </c>
      <c r="D2060" t="s">
        <v>393</v>
      </c>
      <c r="E2060" s="43" t="s">
        <v>311</v>
      </c>
      <c r="F2060" t="s">
        <v>67</v>
      </c>
      <c r="G2060" s="42">
        <v>2599</v>
      </c>
      <c r="H2060"/>
      <c r="N2060" s="38">
        <f t="shared" si="31"/>
        <v>0</v>
      </c>
    </row>
    <row r="2061" spans="1:15" x14ac:dyDescent="0.25">
      <c r="A2061" s="37" t="s">
        <v>241</v>
      </c>
      <c r="B2061" s="43" t="s">
        <v>174</v>
      </c>
      <c r="C2061" s="62">
        <f>VLOOKUP(B2061,合并仓明细!$D$2:$F$74,3,0)</f>
        <v>49</v>
      </c>
      <c r="D2061" t="s">
        <v>393</v>
      </c>
      <c r="E2061" s="43" t="s">
        <v>311</v>
      </c>
      <c r="F2061" t="s">
        <v>66</v>
      </c>
      <c r="G2061" s="42">
        <v>709.21000000000015</v>
      </c>
      <c r="H2061"/>
      <c r="N2061" s="38">
        <f t="shared" si="31"/>
        <v>0</v>
      </c>
    </row>
    <row r="2062" spans="1:15" x14ac:dyDescent="0.25">
      <c r="A2062" s="37" t="s">
        <v>241</v>
      </c>
      <c r="B2062" s="43" t="s">
        <v>174</v>
      </c>
      <c r="C2062" s="62">
        <f>VLOOKUP(B2062,合并仓明细!$D$2:$F$74,3,0)</f>
        <v>49</v>
      </c>
      <c r="D2062" t="s">
        <v>393</v>
      </c>
      <c r="E2062" s="43" t="s">
        <v>279</v>
      </c>
      <c r="F2062" t="s">
        <v>66</v>
      </c>
      <c r="G2062" s="42">
        <v>8.1</v>
      </c>
      <c r="H2062">
        <v>8.0999999999999996E-3</v>
      </c>
      <c r="L2062" s="37">
        <f>IF(H2062&gt;30,QUOTIENT(H2062,30)*VLOOKUP(D2062,'报价表-配送'!$B$61:$I$65,8,0),0)+IF(AND(MOD(H2062,30)&gt;18,MOD(H2062,30)&lt;=30),1,0)*VLOOKUP(D2062,'报价表-配送'!$B$61:$I$65,8,0)+IF(AND(MOD(H2062,30)&gt;8,MOD(H2062,30)&lt;=18),1*VLOOKUP(D2062,'报价表-配送'!$B$61:$I$65,7,0),0)+IF(AND(MOD(H2062,30)&lt;=8,MOD(H2062,30)&gt;2.5),1,0)*VLOOKUP(D2062,'报价表-配送'!$B$61:$I$65,6,0)+IF(AND(MOD(H2062,30)&lt;=2.5,MOD(H2062,30)&gt;=1.5),1,0)*VLOOKUP(D2062,'报价表-配送'!$B$61:$I$65,5,0)</f>
        <v>0</v>
      </c>
      <c r="M2062" s="39">
        <f>IF(AND(MOD(H2062,30)&lt;1.5,MOD(H2062,30)&gt;=0.5),H2062,0)*VLOOKUP(D2062,'报价表-配送'!$B$61:$I$65,4,0)*1000+IF(AND(MOD(H2062,30)&lt;0.5,MOD(H2062,30)&gt;=0.02),H2062,0)*VLOOKUP(D2062,'报价表-配送'!$B$61:$I$65,3,0)*1000+IF(AND(MOD(H2062,30)&lt;0.02),H2062,0)*VLOOKUP(D2062,'报价表-配送'!$B$61:$I$65,2,0)*1000</f>
        <v>0</v>
      </c>
      <c r="N2062" s="38">
        <f t="shared" si="31"/>
        <v>0</v>
      </c>
    </row>
    <row r="2063" spans="1:15" x14ac:dyDescent="0.25">
      <c r="A2063" s="37" t="s">
        <v>241</v>
      </c>
      <c r="B2063" s="43" t="s">
        <v>174</v>
      </c>
      <c r="C2063" s="62">
        <f>VLOOKUP(B2063,合并仓明细!$D$2:$F$74,3,0)</f>
        <v>49</v>
      </c>
      <c r="D2063" t="s">
        <v>393</v>
      </c>
      <c r="E2063" s="43" t="s">
        <v>347</v>
      </c>
      <c r="F2063" t="s">
        <v>68</v>
      </c>
      <c r="G2063" s="42">
        <v>466.25</v>
      </c>
      <c r="H2063">
        <v>1.82433</v>
      </c>
      <c r="I2063" s="46">
        <f>ROUNDUP(H2063/30,0)*VLOOKUP(D2063,'报价表-配送'!$B$61:$I$65,8,0)</f>
        <v>0</v>
      </c>
      <c r="N2063" s="38">
        <f t="shared" si="31"/>
        <v>0</v>
      </c>
    </row>
    <row r="2064" spans="1:15" x14ac:dyDescent="0.25">
      <c r="A2064" s="37" t="s">
        <v>241</v>
      </c>
      <c r="B2064" s="43" t="s">
        <v>174</v>
      </c>
      <c r="C2064" s="62">
        <f>VLOOKUP(B2064,合并仓明细!$D$2:$F$74,3,0)</f>
        <v>49</v>
      </c>
      <c r="D2064" t="s">
        <v>393</v>
      </c>
      <c r="E2064" s="43" t="s">
        <v>347</v>
      </c>
      <c r="F2064" t="s">
        <v>67</v>
      </c>
      <c r="G2064" s="42">
        <v>367.58</v>
      </c>
      <c r="H2064"/>
      <c r="N2064" s="38">
        <f t="shared" si="31"/>
        <v>0</v>
      </c>
    </row>
    <row r="2065" spans="1:14" x14ac:dyDescent="0.25">
      <c r="A2065" s="37" t="s">
        <v>241</v>
      </c>
      <c r="B2065" s="43" t="s">
        <v>174</v>
      </c>
      <c r="C2065" s="62">
        <f>VLOOKUP(B2065,合并仓明细!$D$2:$F$74,3,0)</f>
        <v>49</v>
      </c>
      <c r="D2065" t="s">
        <v>393</v>
      </c>
      <c r="E2065" s="43" t="s">
        <v>347</v>
      </c>
      <c r="F2065" t="s">
        <v>66</v>
      </c>
      <c r="G2065" s="42">
        <v>990.5</v>
      </c>
      <c r="H2065"/>
      <c r="N2065" s="38">
        <f t="shared" si="31"/>
        <v>0</v>
      </c>
    </row>
    <row r="2066" spans="1:14" x14ac:dyDescent="0.25">
      <c r="A2066" s="37" t="s">
        <v>241</v>
      </c>
      <c r="B2066" s="43" t="s">
        <v>174</v>
      </c>
      <c r="C2066" s="62">
        <f>VLOOKUP(B2066,合并仓明细!$D$2:$F$74,3,0)</f>
        <v>49</v>
      </c>
      <c r="D2066" t="s">
        <v>393</v>
      </c>
      <c r="E2066" s="43" t="s">
        <v>246</v>
      </c>
      <c r="F2066" t="s">
        <v>68</v>
      </c>
      <c r="G2066" s="42">
        <v>22.46</v>
      </c>
      <c r="H2066">
        <v>1.1213499999999998</v>
      </c>
      <c r="I2066" s="46">
        <f>ROUNDUP(H2066/30,0)*VLOOKUP(D2066,'报价表-配送'!$B$61:$I$65,8,0)</f>
        <v>0</v>
      </c>
      <c r="N2066" s="38">
        <f t="shared" si="31"/>
        <v>0</v>
      </c>
    </row>
    <row r="2067" spans="1:14" x14ac:dyDescent="0.25">
      <c r="A2067" s="37" t="s">
        <v>241</v>
      </c>
      <c r="B2067" s="43" t="s">
        <v>174</v>
      </c>
      <c r="C2067" s="62">
        <f>VLOOKUP(B2067,合并仓明细!$D$2:$F$74,3,0)</f>
        <v>49</v>
      </c>
      <c r="D2067" t="s">
        <v>393</v>
      </c>
      <c r="E2067" s="43" t="s">
        <v>246</v>
      </c>
      <c r="F2067" t="s">
        <v>67</v>
      </c>
      <c r="G2067" s="42">
        <v>632.04999999999995</v>
      </c>
      <c r="H2067"/>
      <c r="N2067" s="38">
        <f t="shared" si="31"/>
        <v>0</v>
      </c>
    </row>
    <row r="2068" spans="1:14" x14ac:dyDescent="0.25">
      <c r="A2068" s="37" t="s">
        <v>241</v>
      </c>
      <c r="B2068" s="43" t="s">
        <v>174</v>
      </c>
      <c r="C2068" s="62">
        <f>VLOOKUP(B2068,合并仓明细!$D$2:$F$74,3,0)</f>
        <v>49</v>
      </c>
      <c r="D2068" t="s">
        <v>393</v>
      </c>
      <c r="E2068" s="43" t="s">
        <v>246</v>
      </c>
      <c r="F2068" t="s">
        <v>66</v>
      </c>
      <c r="G2068" s="42">
        <v>466.83999999999992</v>
      </c>
      <c r="H2068"/>
      <c r="N2068" s="38">
        <f t="shared" si="31"/>
        <v>0</v>
      </c>
    </row>
    <row r="2069" spans="1:14" x14ac:dyDescent="0.25">
      <c r="A2069" s="37" t="s">
        <v>241</v>
      </c>
      <c r="B2069" s="43" t="s">
        <v>174</v>
      </c>
      <c r="C2069" s="62">
        <f>VLOOKUP(B2069,合并仓明细!$D$2:$F$74,3,0)</f>
        <v>49</v>
      </c>
      <c r="D2069" t="s">
        <v>393</v>
      </c>
      <c r="E2069" s="43" t="s">
        <v>352</v>
      </c>
      <c r="F2069" t="s">
        <v>68</v>
      </c>
      <c r="G2069" s="42">
        <v>328.69</v>
      </c>
      <c r="H2069">
        <v>1.9353799999999997</v>
      </c>
      <c r="I2069" s="46">
        <f>ROUNDUP(H2069/30,0)*VLOOKUP(D2069,'报价表-配送'!$B$61:$I$65,8,0)</f>
        <v>0</v>
      </c>
      <c r="N2069" s="38">
        <f t="shared" si="31"/>
        <v>0</v>
      </c>
    </row>
    <row r="2070" spans="1:14" x14ac:dyDescent="0.25">
      <c r="A2070" s="37" t="s">
        <v>241</v>
      </c>
      <c r="B2070" s="43" t="s">
        <v>174</v>
      </c>
      <c r="C2070" s="62">
        <f>VLOOKUP(B2070,合并仓明细!$D$2:$F$74,3,0)</f>
        <v>49</v>
      </c>
      <c r="D2070" t="s">
        <v>393</v>
      </c>
      <c r="E2070" s="43" t="s">
        <v>352</v>
      </c>
      <c r="F2070" t="s">
        <v>67</v>
      </c>
      <c r="G2070" s="42">
        <v>367.71</v>
      </c>
      <c r="H2070"/>
      <c r="N2070" s="38">
        <f t="shared" si="31"/>
        <v>0</v>
      </c>
    </row>
    <row r="2071" spans="1:14" x14ac:dyDescent="0.25">
      <c r="A2071" s="37" t="s">
        <v>241</v>
      </c>
      <c r="B2071" s="43" t="s">
        <v>174</v>
      </c>
      <c r="C2071" s="62">
        <f>VLOOKUP(B2071,合并仓明细!$D$2:$F$74,3,0)</f>
        <v>49</v>
      </c>
      <c r="D2071" t="s">
        <v>393</v>
      </c>
      <c r="E2071" s="43" t="s">
        <v>352</v>
      </c>
      <c r="F2071" t="s">
        <v>66</v>
      </c>
      <c r="G2071" s="42">
        <v>1238.9799999999998</v>
      </c>
      <c r="H2071"/>
      <c r="N2071" s="38">
        <f t="shared" si="31"/>
        <v>0</v>
      </c>
    </row>
    <row r="2072" spans="1:14" x14ac:dyDescent="0.25">
      <c r="A2072" s="37" t="s">
        <v>241</v>
      </c>
      <c r="B2072" s="43" t="s">
        <v>174</v>
      </c>
      <c r="C2072" s="62">
        <f>VLOOKUP(B2072,合并仓明细!$D$2:$F$74,3,0)</f>
        <v>49</v>
      </c>
      <c r="D2072" t="s">
        <v>393</v>
      </c>
      <c r="E2072" s="43" t="s">
        <v>280</v>
      </c>
      <c r="F2072" t="s">
        <v>68</v>
      </c>
      <c r="G2072" s="42">
        <v>234.7</v>
      </c>
      <c r="H2072">
        <v>4.3238599999999998</v>
      </c>
      <c r="I2072" s="46">
        <f>ROUNDUP(H2072/30,0)*VLOOKUP(D2072,'报价表-配送'!$B$61:$I$65,8,0)</f>
        <v>0</v>
      </c>
      <c r="N2072" s="38">
        <f t="shared" si="31"/>
        <v>0</v>
      </c>
    </row>
    <row r="2073" spans="1:14" x14ac:dyDescent="0.25">
      <c r="A2073" s="37" t="s">
        <v>241</v>
      </c>
      <c r="B2073" s="43" t="s">
        <v>174</v>
      </c>
      <c r="C2073" s="62">
        <f>VLOOKUP(B2073,合并仓明细!$D$2:$F$74,3,0)</f>
        <v>49</v>
      </c>
      <c r="D2073" t="s">
        <v>393</v>
      </c>
      <c r="E2073" s="43" t="s">
        <v>280</v>
      </c>
      <c r="F2073" t="s">
        <v>67</v>
      </c>
      <c r="G2073" s="42">
        <v>3297.1</v>
      </c>
      <c r="H2073"/>
      <c r="N2073" s="38">
        <f t="shared" si="31"/>
        <v>0</v>
      </c>
    </row>
    <row r="2074" spans="1:14" x14ac:dyDescent="0.25">
      <c r="A2074" s="37" t="s">
        <v>241</v>
      </c>
      <c r="B2074" s="43" t="s">
        <v>174</v>
      </c>
      <c r="C2074" s="62">
        <f>VLOOKUP(B2074,合并仓明细!$D$2:$F$74,3,0)</f>
        <v>49</v>
      </c>
      <c r="D2074" t="s">
        <v>393</v>
      </c>
      <c r="E2074" s="43" t="s">
        <v>280</v>
      </c>
      <c r="F2074" t="s">
        <v>66</v>
      </c>
      <c r="G2074" s="42">
        <v>792.06000000000017</v>
      </c>
      <c r="H2074"/>
      <c r="N2074" s="38">
        <f t="shared" si="31"/>
        <v>0</v>
      </c>
    </row>
    <row r="2075" spans="1:14" x14ac:dyDescent="0.25">
      <c r="A2075" s="37" t="s">
        <v>241</v>
      </c>
      <c r="B2075" s="43" t="s">
        <v>174</v>
      </c>
      <c r="C2075" s="62">
        <f>VLOOKUP(B2075,合并仓明细!$D$2:$F$74,3,0)</f>
        <v>49</v>
      </c>
      <c r="D2075" t="s">
        <v>393</v>
      </c>
      <c r="E2075" s="43" t="s">
        <v>312</v>
      </c>
      <c r="F2075" t="s">
        <v>67</v>
      </c>
      <c r="G2075" s="42">
        <v>817.25</v>
      </c>
      <c r="H2075">
        <v>0.84941</v>
      </c>
      <c r="I2075" s="38">
        <f>IF(H2075&gt;30,QUOTIENT(H2075,30)*VLOOKUP(D2075,'报价表-配送'!$B$61:$I$65,8,0),0)+IF(AND(MOD(H2075,30)&gt;18,MOD(H2075,30)&lt;=30),1,0)*VLOOKUP(D2075,'报价表-配送'!$B$61:$I$65,8,0)</f>
        <v>0</v>
      </c>
      <c r="J2075" s="38">
        <f>IF(AND(MOD(H2075,30)&gt;8,MOD(H2075,30)&lt;=18),1*VLOOKUP(D2075,'报价表-配送'!$B$61:$I$65,7,0),0)</f>
        <v>0</v>
      </c>
      <c r="K2075" s="38">
        <f>IF(AND(MOD(H2075,30)&lt;=8,MOD(H2075,30)&gt;0),1,0)*VLOOKUP(D2075,'报价表-配送'!$B$61:$I$65,6,0)</f>
        <v>0</v>
      </c>
      <c r="N2075" s="38">
        <f t="shared" si="31"/>
        <v>0</v>
      </c>
    </row>
    <row r="2076" spans="1:14" x14ac:dyDescent="0.25">
      <c r="A2076" s="37" t="s">
        <v>241</v>
      </c>
      <c r="B2076" s="43" t="s">
        <v>174</v>
      </c>
      <c r="C2076" s="62">
        <f>VLOOKUP(B2076,合并仓明细!$D$2:$F$74,3,0)</f>
        <v>49</v>
      </c>
      <c r="D2076" t="s">
        <v>393</v>
      </c>
      <c r="E2076" s="43" t="s">
        <v>312</v>
      </c>
      <c r="F2076" t="s">
        <v>66</v>
      </c>
      <c r="G2076" s="42">
        <v>32.159999999999997</v>
      </c>
      <c r="H2076"/>
      <c r="N2076" s="38">
        <f t="shared" si="31"/>
        <v>0</v>
      </c>
    </row>
    <row r="2077" spans="1:14" x14ac:dyDescent="0.25">
      <c r="A2077" s="37" t="s">
        <v>241</v>
      </c>
      <c r="B2077" s="43" t="s">
        <v>174</v>
      </c>
      <c r="C2077" s="62">
        <f>VLOOKUP(B2077,合并仓明细!$D$2:$F$74,3,0)</f>
        <v>49</v>
      </c>
      <c r="D2077" t="s">
        <v>393</v>
      </c>
      <c r="E2077" s="43" t="s">
        <v>338</v>
      </c>
      <c r="F2077" t="s">
        <v>68</v>
      </c>
      <c r="G2077" s="42">
        <v>1084.6100000000001</v>
      </c>
      <c r="H2077">
        <v>16.693639999999998</v>
      </c>
      <c r="I2077" s="46">
        <f>ROUNDUP(H2077/30,0)*VLOOKUP(D2077,'报价表-配送'!$B$61:$I$65,8,0)</f>
        <v>0</v>
      </c>
      <c r="N2077" s="38">
        <f t="shared" si="31"/>
        <v>0</v>
      </c>
    </row>
    <row r="2078" spans="1:14" x14ac:dyDescent="0.25">
      <c r="A2078" s="37" t="s">
        <v>241</v>
      </c>
      <c r="B2078" s="43" t="s">
        <v>174</v>
      </c>
      <c r="C2078" s="62">
        <f>VLOOKUP(B2078,合并仓明细!$D$2:$F$74,3,0)</f>
        <v>49</v>
      </c>
      <c r="D2078" t="s">
        <v>393</v>
      </c>
      <c r="E2078" s="43" t="s">
        <v>338</v>
      </c>
      <c r="F2078" t="s">
        <v>67</v>
      </c>
      <c r="G2078" s="42">
        <v>14720.37</v>
      </c>
      <c r="H2078"/>
      <c r="N2078" s="38">
        <f t="shared" si="31"/>
        <v>0</v>
      </c>
    </row>
    <row r="2079" spans="1:14" x14ac:dyDescent="0.25">
      <c r="A2079" s="37" t="s">
        <v>241</v>
      </c>
      <c r="B2079" s="43" t="s">
        <v>174</v>
      </c>
      <c r="C2079" s="62">
        <f>VLOOKUP(B2079,合并仓明细!$D$2:$F$74,3,0)</f>
        <v>49</v>
      </c>
      <c r="D2079" t="s">
        <v>393</v>
      </c>
      <c r="E2079" s="43" t="s">
        <v>338</v>
      </c>
      <c r="F2079" t="s">
        <v>66</v>
      </c>
      <c r="G2079" s="42">
        <v>888.65999999999985</v>
      </c>
      <c r="H2079"/>
      <c r="N2079" s="38">
        <f t="shared" si="31"/>
        <v>0</v>
      </c>
    </row>
    <row r="2080" spans="1:14" x14ac:dyDescent="0.25">
      <c r="A2080" s="37" t="s">
        <v>241</v>
      </c>
      <c r="B2080" s="43" t="s">
        <v>174</v>
      </c>
      <c r="C2080" s="62">
        <f>VLOOKUP(B2080,合并仓明细!$D$2:$F$74,3,0)</f>
        <v>49</v>
      </c>
      <c r="D2080" t="s">
        <v>393</v>
      </c>
      <c r="E2080" s="43" t="s">
        <v>282</v>
      </c>
      <c r="F2080" t="s">
        <v>68</v>
      </c>
      <c r="G2080" s="42">
        <v>138.81</v>
      </c>
      <c r="H2080">
        <v>5.3210500000000005</v>
      </c>
      <c r="I2080" s="46">
        <f>ROUNDUP(H2080/30,0)*VLOOKUP(D2080,'报价表-配送'!$B$61:$I$65,8,0)</f>
        <v>0</v>
      </c>
      <c r="N2080" s="38">
        <f t="shared" si="31"/>
        <v>0</v>
      </c>
    </row>
    <row r="2081" spans="1:14" x14ac:dyDescent="0.25">
      <c r="A2081" s="37" t="s">
        <v>241</v>
      </c>
      <c r="B2081" s="43" t="s">
        <v>174</v>
      </c>
      <c r="C2081" s="62">
        <f>VLOOKUP(B2081,合并仓明细!$D$2:$F$74,3,0)</f>
        <v>49</v>
      </c>
      <c r="D2081" t="s">
        <v>393</v>
      </c>
      <c r="E2081" s="43" t="s">
        <v>282</v>
      </c>
      <c r="F2081" t="s">
        <v>67</v>
      </c>
      <c r="G2081" s="42">
        <v>3697.9500000000003</v>
      </c>
      <c r="H2081"/>
      <c r="N2081" s="38">
        <f t="shared" si="31"/>
        <v>0</v>
      </c>
    </row>
    <row r="2082" spans="1:14" x14ac:dyDescent="0.25">
      <c r="A2082" s="37" t="s">
        <v>241</v>
      </c>
      <c r="B2082" s="43" t="s">
        <v>174</v>
      </c>
      <c r="C2082" s="62">
        <f>VLOOKUP(B2082,合并仓明细!$D$2:$F$74,3,0)</f>
        <v>49</v>
      </c>
      <c r="D2082" t="s">
        <v>393</v>
      </c>
      <c r="E2082" s="43" t="s">
        <v>282</v>
      </c>
      <c r="F2082" t="s">
        <v>66</v>
      </c>
      <c r="G2082" s="42">
        <v>1484.2900000000002</v>
      </c>
      <c r="H2082"/>
      <c r="N2082" s="38">
        <f t="shared" si="31"/>
        <v>0</v>
      </c>
    </row>
    <row r="2083" spans="1:14" x14ac:dyDescent="0.25">
      <c r="A2083" s="37" t="s">
        <v>241</v>
      </c>
      <c r="B2083" s="43" t="s">
        <v>174</v>
      </c>
      <c r="C2083" s="62">
        <f>VLOOKUP(B2083,合并仓明细!$D$2:$F$74,3,0)</f>
        <v>49</v>
      </c>
      <c r="D2083" t="s">
        <v>393</v>
      </c>
      <c r="E2083" s="43" t="s">
        <v>339</v>
      </c>
      <c r="F2083" t="s">
        <v>68</v>
      </c>
      <c r="G2083" s="42">
        <v>685.81999999999994</v>
      </c>
      <c r="H2083">
        <v>15.872940000000002</v>
      </c>
      <c r="I2083" s="46">
        <f>ROUNDUP(H2083/30,0)*VLOOKUP(D2083,'报价表-配送'!$B$61:$I$65,8,0)</f>
        <v>0</v>
      </c>
      <c r="N2083" s="38">
        <f t="shared" si="31"/>
        <v>0</v>
      </c>
    </row>
    <row r="2084" spans="1:14" x14ac:dyDescent="0.25">
      <c r="A2084" s="37" t="s">
        <v>241</v>
      </c>
      <c r="B2084" s="43" t="s">
        <v>174</v>
      </c>
      <c r="C2084" s="62">
        <f>VLOOKUP(B2084,合并仓明细!$D$2:$F$74,3,0)</f>
        <v>49</v>
      </c>
      <c r="D2084" t="s">
        <v>393</v>
      </c>
      <c r="E2084" s="43" t="s">
        <v>339</v>
      </c>
      <c r="F2084" t="s">
        <v>67</v>
      </c>
      <c r="G2084" s="42">
        <v>14997.790000000003</v>
      </c>
      <c r="H2084"/>
      <c r="N2084" s="38">
        <f t="shared" si="31"/>
        <v>0</v>
      </c>
    </row>
    <row r="2085" spans="1:14" x14ac:dyDescent="0.25">
      <c r="A2085" s="37" t="s">
        <v>241</v>
      </c>
      <c r="B2085" s="43" t="s">
        <v>174</v>
      </c>
      <c r="C2085" s="62">
        <f>VLOOKUP(B2085,合并仓明细!$D$2:$F$74,3,0)</f>
        <v>49</v>
      </c>
      <c r="D2085" t="s">
        <v>393</v>
      </c>
      <c r="E2085" s="43" t="s">
        <v>339</v>
      </c>
      <c r="F2085" t="s">
        <v>66</v>
      </c>
      <c r="G2085" s="42">
        <v>189.33</v>
      </c>
      <c r="H2085"/>
      <c r="N2085" s="38">
        <f t="shared" si="31"/>
        <v>0</v>
      </c>
    </row>
    <row r="2086" spans="1:14" x14ac:dyDescent="0.25">
      <c r="A2086" s="37" t="s">
        <v>241</v>
      </c>
      <c r="B2086" s="43" t="s">
        <v>174</v>
      </c>
      <c r="C2086" s="62">
        <f>VLOOKUP(B2086,合并仓明细!$D$2:$F$74,3,0)</f>
        <v>49</v>
      </c>
      <c r="D2086" t="s">
        <v>393</v>
      </c>
      <c r="E2086" s="43" t="s">
        <v>323</v>
      </c>
      <c r="F2086" t="s">
        <v>68</v>
      </c>
      <c r="G2086" s="42">
        <v>865.83999999999992</v>
      </c>
      <c r="H2086">
        <v>3.28546</v>
      </c>
      <c r="I2086" s="46">
        <f>ROUNDUP(H2086/30,0)*VLOOKUP(D2086,'报价表-配送'!$B$61:$I$65,8,0)</f>
        <v>0</v>
      </c>
      <c r="N2086" s="38">
        <f t="shared" si="31"/>
        <v>0</v>
      </c>
    </row>
    <row r="2087" spans="1:14" x14ac:dyDescent="0.25">
      <c r="A2087" s="37" t="s">
        <v>241</v>
      </c>
      <c r="B2087" s="43" t="s">
        <v>174</v>
      </c>
      <c r="C2087" s="62">
        <f>VLOOKUP(B2087,合并仓明细!$D$2:$F$74,3,0)</f>
        <v>49</v>
      </c>
      <c r="D2087" t="s">
        <v>393</v>
      </c>
      <c r="E2087" s="43" t="s">
        <v>323</v>
      </c>
      <c r="F2087" t="s">
        <v>67</v>
      </c>
      <c r="G2087" s="42">
        <v>1930.87</v>
      </c>
      <c r="H2087"/>
      <c r="N2087" s="38">
        <f t="shared" si="31"/>
        <v>0</v>
      </c>
    </row>
    <row r="2088" spans="1:14" x14ac:dyDescent="0.25">
      <c r="A2088" s="37" t="s">
        <v>241</v>
      </c>
      <c r="B2088" s="45" t="s">
        <v>174</v>
      </c>
      <c r="C2088" s="62">
        <f>VLOOKUP(B2088,合并仓明细!$D$2:$F$74,3,0)</f>
        <v>49</v>
      </c>
      <c r="D2088" t="s">
        <v>393</v>
      </c>
      <c r="E2088" s="43" t="s">
        <v>323</v>
      </c>
      <c r="F2088" t="s">
        <v>66</v>
      </c>
      <c r="G2088" s="42">
        <v>488.74999999999994</v>
      </c>
      <c r="H2088"/>
      <c r="N2088" s="38">
        <f t="shared" si="31"/>
        <v>0</v>
      </c>
    </row>
    <row r="2089" spans="1:14" x14ac:dyDescent="0.25">
      <c r="A2089" s="37" t="s">
        <v>241</v>
      </c>
      <c r="B2089" s="44" t="s">
        <v>174</v>
      </c>
      <c r="C2089" s="62">
        <f>VLOOKUP(B2089,合并仓明细!$D$2:$F$74,3,0)</f>
        <v>49</v>
      </c>
      <c r="D2089" t="s">
        <v>393</v>
      </c>
      <c r="E2089" s="43" t="s">
        <v>313</v>
      </c>
      <c r="F2089" t="s">
        <v>68</v>
      </c>
      <c r="G2089" s="42">
        <v>91.220000000000013</v>
      </c>
      <c r="H2089">
        <v>4.5251399999999995</v>
      </c>
      <c r="I2089" s="46">
        <f>ROUNDUP(H2089/30,0)*VLOOKUP(D2089,'报价表-配送'!$B$61:$I$65,8,0)</f>
        <v>0</v>
      </c>
      <c r="N2089" s="38">
        <f t="shared" si="31"/>
        <v>0</v>
      </c>
    </row>
    <row r="2090" spans="1:14" x14ac:dyDescent="0.25">
      <c r="A2090" s="37" t="s">
        <v>241</v>
      </c>
      <c r="B2090" s="43" t="s">
        <v>174</v>
      </c>
      <c r="C2090" s="62">
        <f>VLOOKUP(B2090,合并仓明细!$D$2:$F$74,3,0)</f>
        <v>49</v>
      </c>
      <c r="D2090" t="s">
        <v>393</v>
      </c>
      <c r="E2090" s="43" t="s">
        <v>313</v>
      </c>
      <c r="F2090" t="s">
        <v>67</v>
      </c>
      <c r="G2090" s="42">
        <v>3367.61</v>
      </c>
      <c r="H2090"/>
      <c r="N2090" s="38">
        <f t="shared" si="31"/>
        <v>0</v>
      </c>
    </row>
    <row r="2091" spans="1:14" x14ac:dyDescent="0.25">
      <c r="A2091" s="37" t="s">
        <v>241</v>
      </c>
      <c r="B2091" s="43" t="s">
        <v>174</v>
      </c>
      <c r="C2091" s="62">
        <f>VLOOKUP(B2091,合并仓明细!$D$2:$F$74,3,0)</f>
        <v>49</v>
      </c>
      <c r="D2091" t="s">
        <v>393</v>
      </c>
      <c r="E2091" s="43" t="s">
        <v>313</v>
      </c>
      <c r="F2091" t="s">
        <v>66</v>
      </c>
      <c r="G2091" s="42">
        <v>1066.31</v>
      </c>
      <c r="H2091"/>
      <c r="N2091" s="38">
        <f t="shared" si="31"/>
        <v>0</v>
      </c>
    </row>
    <row r="2092" spans="1:14" x14ac:dyDescent="0.25">
      <c r="A2092" s="37" t="s">
        <v>241</v>
      </c>
      <c r="B2092" s="43" t="s">
        <v>174</v>
      </c>
      <c r="C2092" s="62">
        <f>VLOOKUP(B2092,合并仓明细!$D$2:$F$74,3,0)</f>
        <v>49</v>
      </c>
      <c r="D2092" t="s">
        <v>393</v>
      </c>
      <c r="E2092" s="43" t="s">
        <v>284</v>
      </c>
      <c r="F2092" t="s">
        <v>68</v>
      </c>
      <c r="G2092" s="42">
        <v>2080.98</v>
      </c>
      <c r="H2092">
        <v>4.6611399999999996</v>
      </c>
      <c r="I2092" s="46">
        <f>ROUNDUP(H2092/30,0)*VLOOKUP(D2092,'报价表-配送'!$B$61:$I$65,8,0)</f>
        <v>0</v>
      </c>
      <c r="L2092" s="37"/>
      <c r="M2092" s="39"/>
      <c r="N2092" s="38">
        <f t="shared" ref="N2092:N2155" si="32">SUM(I2092:M2092)</f>
        <v>0</v>
      </c>
    </row>
    <row r="2093" spans="1:14" x14ac:dyDescent="0.25">
      <c r="A2093" s="37" t="s">
        <v>241</v>
      </c>
      <c r="B2093" s="43" t="s">
        <v>174</v>
      </c>
      <c r="C2093" s="62">
        <f>VLOOKUP(B2093,合并仓明细!$D$2:$F$74,3,0)</f>
        <v>49</v>
      </c>
      <c r="D2093" t="s">
        <v>393</v>
      </c>
      <c r="E2093" s="43" t="s">
        <v>284</v>
      </c>
      <c r="F2093" t="s">
        <v>67</v>
      </c>
      <c r="G2093" s="42">
        <v>1723.3299999999995</v>
      </c>
      <c r="H2093"/>
      <c r="I2093" s="46"/>
      <c r="N2093" s="38">
        <f t="shared" si="32"/>
        <v>0</v>
      </c>
    </row>
    <row r="2094" spans="1:14" x14ac:dyDescent="0.25">
      <c r="A2094" s="37" t="s">
        <v>241</v>
      </c>
      <c r="B2094" s="43" t="s">
        <v>174</v>
      </c>
      <c r="C2094" s="62">
        <f>VLOOKUP(B2094,合并仓明细!$D$2:$F$74,3,0)</f>
        <v>49</v>
      </c>
      <c r="D2094" t="s">
        <v>393</v>
      </c>
      <c r="E2094" s="43" t="s">
        <v>284</v>
      </c>
      <c r="F2094" t="s">
        <v>66</v>
      </c>
      <c r="G2094" s="42">
        <v>856.83000000000015</v>
      </c>
      <c r="H2094"/>
      <c r="N2094" s="38">
        <f t="shared" si="32"/>
        <v>0</v>
      </c>
    </row>
    <row r="2095" spans="1:14" x14ac:dyDescent="0.25">
      <c r="A2095" s="37" t="s">
        <v>241</v>
      </c>
      <c r="B2095" s="43" t="s">
        <v>174</v>
      </c>
      <c r="C2095" s="62">
        <f>VLOOKUP(B2095,合并仓明细!$D$2:$F$74,3,0)</f>
        <v>49</v>
      </c>
      <c r="D2095" t="s">
        <v>393</v>
      </c>
      <c r="E2095" s="43" t="s">
        <v>285</v>
      </c>
      <c r="F2095" t="s">
        <v>68</v>
      </c>
      <c r="G2095" s="42">
        <v>2270.23</v>
      </c>
      <c r="H2095">
        <v>9.79359</v>
      </c>
      <c r="I2095" s="46">
        <f>ROUNDUP(H2095/30,0)*VLOOKUP(D2095,'报价表-配送'!$B$61:$I$65,8,0)</f>
        <v>0</v>
      </c>
      <c r="N2095" s="38">
        <f t="shared" si="32"/>
        <v>0</v>
      </c>
    </row>
    <row r="2096" spans="1:14" x14ac:dyDescent="0.25">
      <c r="A2096" s="37" t="s">
        <v>241</v>
      </c>
      <c r="B2096" s="43" t="s">
        <v>174</v>
      </c>
      <c r="C2096" s="62">
        <f>VLOOKUP(B2096,合并仓明细!$D$2:$F$74,3,0)</f>
        <v>49</v>
      </c>
      <c r="D2096" t="s">
        <v>393</v>
      </c>
      <c r="E2096" s="43" t="s">
        <v>285</v>
      </c>
      <c r="F2096" t="s">
        <v>67</v>
      </c>
      <c r="G2096" s="42">
        <v>6555.17</v>
      </c>
      <c r="H2096"/>
      <c r="I2096" s="46"/>
      <c r="N2096" s="38">
        <f t="shared" si="32"/>
        <v>0</v>
      </c>
    </row>
    <row r="2097" spans="1:15" x14ac:dyDescent="0.25">
      <c r="A2097" s="37" t="s">
        <v>241</v>
      </c>
      <c r="B2097" s="43" t="s">
        <v>174</v>
      </c>
      <c r="C2097" s="62">
        <f>VLOOKUP(B2097,合并仓明细!$D$2:$F$74,3,0)</f>
        <v>49</v>
      </c>
      <c r="D2097" t="s">
        <v>393</v>
      </c>
      <c r="E2097" s="43" t="s">
        <v>285</v>
      </c>
      <c r="F2097" t="s">
        <v>66</v>
      </c>
      <c r="G2097" s="42">
        <v>968.19000000000017</v>
      </c>
      <c r="H2097"/>
      <c r="N2097" s="38">
        <f t="shared" si="32"/>
        <v>0</v>
      </c>
    </row>
    <row r="2098" spans="1:15" x14ac:dyDescent="0.25">
      <c r="A2098" s="37" t="s">
        <v>241</v>
      </c>
      <c r="B2098" s="43" t="s">
        <v>174</v>
      </c>
      <c r="C2098" s="62">
        <f>VLOOKUP(B2098,合并仓明细!$D$2:$F$74,3,0)</f>
        <v>49</v>
      </c>
      <c r="D2098" t="s">
        <v>393</v>
      </c>
      <c r="E2098" s="43" t="s">
        <v>329</v>
      </c>
      <c r="F2098" t="s">
        <v>67</v>
      </c>
      <c r="G2098" s="42">
        <v>0</v>
      </c>
      <c r="H2098">
        <v>0.58473000000000008</v>
      </c>
      <c r="I2098" s="38">
        <f>IF(H2098&gt;30,QUOTIENT(H2098,30)*VLOOKUP(D2098,'报价表-配送'!$B$61:$I$65,8,0),0)+IF(AND(MOD(H2098,30)&gt;18,MOD(H2098,30)&lt;=30),1,0)*VLOOKUP(D2098,'报价表-配送'!$B$61:$I$65,8,0)</f>
        <v>0</v>
      </c>
      <c r="J2098" s="38">
        <f>IF(AND(MOD(H2098,30)&gt;8,MOD(H2098,30)&lt;=18),1*VLOOKUP(D2098,'报价表-配送'!$B$61:$I$65,7,0),0)</f>
        <v>0</v>
      </c>
      <c r="K2098" s="38">
        <f>IF(AND(MOD(H2098,30)&lt;=8,MOD(H2098,30)&gt;0),1,0)*VLOOKUP(D2098,'报价表-配送'!$B$61:$I$65,6,0)</f>
        <v>0</v>
      </c>
      <c r="N2098" s="38">
        <f t="shared" si="32"/>
        <v>0</v>
      </c>
    </row>
    <row r="2099" spans="1:15" x14ac:dyDescent="0.25">
      <c r="A2099" s="37" t="s">
        <v>241</v>
      </c>
      <c r="B2099" s="43" t="s">
        <v>174</v>
      </c>
      <c r="C2099" s="62">
        <f>VLOOKUP(B2099,合并仓明细!$D$2:$F$74,3,0)</f>
        <v>49</v>
      </c>
      <c r="D2099" t="s">
        <v>393</v>
      </c>
      <c r="E2099" s="43" t="s">
        <v>329</v>
      </c>
      <c r="F2099" t="s">
        <v>66</v>
      </c>
      <c r="G2099" s="42">
        <v>584.73000000000013</v>
      </c>
      <c r="H2099"/>
      <c r="L2099" s="37"/>
      <c r="M2099" s="39"/>
      <c r="N2099" s="38">
        <f t="shared" si="32"/>
        <v>0</v>
      </c>
    </row>
    <row r="2100" spans="1:15" x14ac:dyDescent="0.25">
      <c r="A2100" s="37" t="s">
        <v>241</v>
      </c>
      <c r="B2100" s="43" t="s">
        <v>174</v>
      </c>
      <c r="C2100" s="62">
        <f>VLOOKUP(B2100,合并仓明细!$D$2:$F$74,3,0)</f>
        <v>49</v>
      </c>
      <c r="D2100" t="s">
        <v>393</v>
      </c>
      <c r="E2100" s="43" t="s">
        <v>286</v>
      </c>
      <c r="F2100" t="s">
        <v>66</v>
      </c>
      <c r="G2100" s="42">
        <v>174.40999999999997</v>
      </c>
      <c r="H2100">
        <v>0.17440999999999998</v>
      </c>
      <c r="L2100" s="37">
        <f>IF(H2100&gt;30,QUOTIENT(H2100,30)*VLOOKUP(D2100,'报价表-配送'!$B$61:$I$65,8,0),0)+IF(AND(MOD(H2100,30)&gt;18,MOD(H2100,30)&lt;=30),1,0)*VLOOKUP(D2100,'报价表-配送'!$B$61:$I$65,8,0)+IF(AND(MOD(H2100,30)&gt;8,MOD(H2100,30)&lt;=18),1*VLOOKUP(D2100,'报价表-配送'!$B$61:$I$65,7,0),0)+IF(AND(MOD(H2100,30)&lt;=8,MOD(H2100,30)&gt;2.5),1,0)*VLOOKUP(D2100,'报价表-配送'!$B$61:$I$65,6,0)+IF(AND(MOD(H2100,30)&lt;=2.5,MOD(H2100,30)&gt;=1.5),1,0)*VLOOKUP(D2100,'报价表-配送'!$B$61:$I$65,5,0)</f>
        <v>0</v>
      </c>
      <c r="M2100" s="39">
        <f>IF(AND(MOD(H2100,30)&lt;1.5,MOD(H2100,30)&gt;=0.5),H2100,0)*VLOOKUP(D2100,'报价表-配送'!$B$61:$I$65,4,0)*1000+IF(AND(MOD(H2100,30)&lt;0.5,MOD(H2100,30)&gt;=0.02),H2100,0)*VLOOKUP(D2100,'报价表-配送'!$B$61:$I$65,3,0)*1000+IF(AND(MOD(H2100,30)&lt;0.02),H2100,0)*VLOOKUP(D2100,'报价表-配送'!$B$61:$I$65,2,0)*1000</f>
        <v>0</v>
      </c>
      <c r="N2100" s="38">
        <f t="shared" si="32"/>
        <v>0</v>
      </c>
    </row>
    <row r="2101" spans="1:15" x14ac:dyDescent="0.25">
      <c r="A2101" s="37" t="s">
        <v>241</v>
      </c>
      <c r="B2101" s="43" t="s">
        <v>174</v>
      </c>
      <c r="C2101" s="62">
        <f>VLOOKUP(B2101,合并仓明细!$D$2:$F$74,3,0)</f>
        <v>49</v>
      </c>
      <c r="D2101" t="s">
        <v>393</v>
      </c>
      <c r="E2101" s="43" t="s">
        <v>287</v>
      </c>
      <c r="F2101" t="s">
        <v>68</v>
      </c>
      <c r="G2101" s="42">
        <v>800.54</v>
      </c>
      <c r="H2101">
        <v>2.6940599999999999</v>
      </c>
      <c r="I2101" s="46">
        <f>ROUNDUP(H2101/30,0)*VLOOKUP(D2101,'报价表-配送'!$B$61:$I$65,8,0)</f>
        <v>0</v>
      </c>
      <c r="N2101" s="38">
        <f t="shared" si="32"/>
        <v>0</v>
      </c>
    </row>
    <row r="2102" spans="1:15" x14ac:dyDescent="0.25">
      <c r="A2102" s="37" t="s">
        <v>241</v>
      </c>
      <c r="B2102" s="43" t="s">
        <v>174</v>
      </c>
      <c r="C2102" s="62">
        <f>VLOOKUP(B2102,合并仓明细!$D$2:$F$74,3,0)</f>
        <v>49</v>
      </c>
      <c r="D2102" t="s">
        <v>393</v>
      </c>
      <c r="E2102" s="43" t="s">
        <v>287</v>
      </c>
      <c r="F2102" t="s">
        <v>67</v>
      </c>
      <c r="G2102" s="42">
        <v>1642.46</v>
      </c>
      <c r="H2102"/>
      <c r="N2102" s="38">
        <f t="shared" si="32"/>
        <v>0</v>
      </c>
    </row>
    <row r="2103" spans="1:15" x14ac:dyDescent="0.25">
      <c r="A2103" s="37" t="s">
        <v>241</v>
      </c>
      <c r="B2103" s="43" t="s">
        <v>174</v>
      </c>
      <c r="C2103" s="62">
        <f>VLOOKUP(B2103,合并仓明细!$D$2:$F$74,3,0)</f>
        <v>49</v>
      </c>
      <c r="D2103" t="s">
        <v>393</v>
      </c>
      <c r="E2103" s="43" t="s">
        <v>287</v>
      </c>
      <c r="F2103" t="s">
        <v>66</v>
      </c>
      <c r="G2103" s="42">
        <v>251.06</v>
      </c>
      <c r="H2103"/>
      <c r="N2103" s="38">
        <f t="shared" si="32"/>
        <v>0</v>
      </c>
    </row>
    <row r="2104" spans="1:15" x14ac:dyDescent="0.25">
      <c r="A2104" s="37" t="s">
        <v>241</v>
      </c>
      <c r="B2104" s="43" t="s">
        <v>174</v>
      </c>
      <c r="C2104" s="62">
        <f>VLOOKUP(B2104,合并仓明细!$D$2:$F$74,3,0)</f>
        <v>49</v>
      </c>
      <c r="D2104" t="s">
        <v>393</v>
      </c>
      <c r="E2104" s="43" t="s">
        <v>324</v>
      </c>
      <c r="F2104" t="s">
        <v>68</v>
      </c>
      <c r="G2104" s="42">
        <v>3834.7999999999997</v>
      </c>
      <c r="H2104">
        <v>10.712779999999999</v>
      </c>
      <c r="I2104" s="46">
        <f>ROUNDUP(H2104/30,0)*VLOOKUP(D2104,'报价表-配送'!$B$61:$I$65,8,0)</f>
        <v>0</v>
      </c>
      <c r="L2104" s="37"/>
      <c r="M2104" s="39"/>
      <c r="N2104" s="38">
        <f t="shared" si="32"/>
        <v>0</v>
      </c>
    </row>
    <row r="2105" spans="1:15" x14ac:dyDescent="0.25">
      <c r="A2105" s="37" t="s">
        <v>241</v>
      </c>
      <c r="B2105" s="43" t="s">
        <v>174</v>
      </c>
      <c r="C2105" s="62">
        <f>VLOOKUP(B2105,合并仓明细!$D$2:$F$74,3,0)</f>
        <v>49</v>
      </c>
      <c r="D2105" t="s">
        <v>393</v>
      </c>
      <c r="E2105" s="43" t="s">
        <v>324</v>
      </c>
      <c r="F2105" t="s">
        <v>67</v>
      </c>
      <c r="G2105" s="42">
        <v>5371.32</v>
      </c>
      <c r="H2105"/>
      <c r="I2105" s="46"/>
      <c r="N2105" s="38">
        <f t="shared" si="32"/>
        <v>0</v>
      </c>
    </row>
    <row r="2106" spans="1:15" x14ac:dyDescent="0.25">
      <c r="A2106" s="37" t="s">
        <v>241</v>
      </c>
      <c r="B2106" s="45" t="s">
        <v>174</v>
      </c>
      <c r="C2106" s="62">
        <f>VLOOKUP(B2106,合并仓明细!$D$2:$F$74,3,0)</f>
        <v>49</v>
      </c>
      <c r="D2106" t="s">
        <v>393</v>
      </c>
      <c r="E2106" s="43" t="s">
        <v>324</v>
      </c>
      <c r="F2106" t="s">
        <v>66</v>
      </c>
      <c r="G2106" s="42">
        <v>1506.6600000000003</v>
      </c>
      <c r="H2106"/>
      <c r="N2106" s="38">
        <f t="shared" si="32"/>
        <v>0</v>
      </c>
    </row>
    <row r="2107" spans="1:15" x14ac:dyDescent="0.25">
      <c r="A2107" s="37" t="s">
        <v>241</v>
      </c>
      <c r="B2107" s="41" t="s">
        <v>174</v>
      </c>
      <c r="C2107" s="62">
        <f>VLOOKUP(B2107,合并仓明细!$D$2:$F$74,3,0)</f>
        <v>49</v>
      </c>
      <c r="D2107" t="s">
        <v>393</v>
      </c>
      <c r="E2107" s="41" t="s">
        <v>372</v>
      </c>
      <c r="F2107" s="40" t="s">
        <v>68</v>
      </c>
      <c r="G2107" s="37">
        <v>2402.8200000000002</v>
      </c>
      <c r="H2107" s="37">
        <v>3.8162500000000001</v>
      </c>
      <c r="I2107" s="46">
        <f>ROUNDUP(H2107/30,0)*VLOOKUP(D2107,'报价表-配送'!$B$61:$I$65,8,0)</f>
        <v>0</v>
      </c>
      <c r="J2107" s="38"/>
      <c r="K2107" s="38"/>
      <c r="L2107" s="37"/>
      <c r="M2107" s="37"/>
      <c r="N2107" s="38">
        <f t="shared" si="32"/>
        <v>0</v>
      </c>
      <c r="O2107" s="37"/>
    </row>
    <row r="2108" spans="1:15" x14ac:dyDescent="0.25">
      <c r="A2108" s="37" t="s">
        <v>241</v>
      </c>
      <c r="B2108" s="41" t="s">
        <v>174</v>
      </c>
      <c r="C2108" s="62">
        <f>VLOOKUP(B2108,合并仓明细!$D$2:$F$74,3,0)</f>
        <v>49</v>
      </c>
      <c r="D2108" t="s">
        <v>393</v>
      </c>
      <c r="E2108" s="41" t="s">
        <v>372</v>
      </c>
      <c r="F2108" s="40" t="s">
        <v>67</v>
      </c>
      <c r="G2108" s="37">
        <v>197.09</v>
      </c>
      <c r="H2108" s="37"/>
      <c r="I2108" s="38"/>
      <c r="J2108" s="38"/>
      <c r="K2108" s="38"/>
      <c r="L2108" s="37"/>
      <c r="M2108" s="37"/>
      <c r="N2108" s="38">
        <f t="shared" si="32"/>
        <v>0</v>
      </c>
      <c r="O2108" s="37"/>
    </row>
    <row r="2109" spans="1:15" x14ac:dyDescent="0.25">
      <c r="A2109" s="37" t="s">
        <v>241</v>
      </c>
      <c r="B2109" s="41" t="s">
        <v>174</v>
      </c>
      <c r="C2109" s="62">
        <f>VLOOKUP(B2109,合并仓明细!$D$2:$F$74,3,0)</f>
        <v>49</v>
      </c>
      <c r="D2109" t="s">
        <v>393</v>
      </c>
      <c r="E2109" s="41" t="s">
        <v>372</v>
      </c>
      <c r="F2109" s="40" t="s">
        <v>66</v>
      </c>
      <c r="G2109" s="37">
        <v>1216.3399999999999</v>
      </c>
      <c r="H2109" s="38"/>
      <c r="I2109" s="37"/>
      <c r="J2109" s="37"/>
      <c r="K2109" s="37"/>
      <c r="L2109" s="37"/>
      <c r="M2109" s="39"/>
      <c r="N2109" s="38">
        <f t="shared" si="32"/>
        <v>0</v>
      </c>
      <c r="O2109" s="37"/>
    </row>
    <row r="2110" spans="1:15" x14ac:dyDescent="0.25">
      <c r="A2110" s="37" t="s">
        <v>241</v>
      </c>
      <c r="B2110" s="41" t="s">
        <v>174</v>
      </c>
      <c r="C2110" s="62">
        <f>VLOOKUP(B2110,合并仓明细!$D$2:$F$74,3,0)</f>
        <v>49</v>
      </c>
      <c r="D2110" t="s">
        <v>393</v>
      </c>
      <c r="E2110" s="41" t="s">
        <v>247</v>
      </c>
      <c r="F2110" s="40" t="s">
        <v>67</v>
      </c>
      <c r="G2110" s="37">
        <v>220.24</v>
      </c>
      <c r="H2110" s="38">
        <v>0.28849000000000002</v>
      </c>
      <c r="I2110" s="38">
        <f>IF(H2110&gt;30,QUOTIENT(H2110,30)*VLOOKUP(D2110,'报价表-配送'!$B$61:$I$65,8,0),0)+IF(AND(MOD(H2110,30)&gt;18,MOD(H2110,30)&lt;=30),1,0)*VLOOKUP(D2110,'报价表-配送'!$B$61:$I$65,8,0)</f>
        <v>0</v>
      </c>
      <c r="J2110" s="38">
        <f>IF(AND(MOD(H2110,30)&gt;8,MOD(H2110,30)&lt;=18),1*VLOOKUP(D2110,'报价表-配送'!$B$61:$I$65,7,0),0)</f>
        <v>0</v>
      </c>
      <c r="K2110" s="38">
        <f>IF(AND(MOD(H2110,30)&lt;=8,MOD(H2110,30)&gt;0),1,0)*VLOOKUP(D2110,'报价表-配送'!$B$61:$I$65,6,0)</f>
        <v>0</v>
      </c>
      <c r="L2110" s="37"/>
      <c r="M2110" s="39"/>
      <c r="N2110" s="38">
        <f t="shared" si="32"/>
        <v>0</v>
      </c>
      <c r="O2110" s="37"/>
    </row>
    <row r="2111" spans="1:15" x14ac:dyDescent="0.25">
      <c r="A2111" s="37" t="s">
        <v>241</v>
      </c>
      <c r="B2111" s="41" t="s">
        <v>174</v>
      </c>
      <c r="C2111" s="62">
        <f>VLOOKUP(B2111,合并仓明细!$D$2:$F$74,3,0)</f>
        <v>49</v>
      </c>
      <c r="D2111" t="s">
        <v>393</v>
      </c>
      <c r="E2111" s="41" t="s">
        <v>247</v>
      </c>
      <c r="F2111" s="40" t="s">
        <v>66</v>
      </c>
      <c r="G2111" s="37">
        <v>68.25</v>
      </c>
      <c r="H2111" s="38"/>
      <c r="I2111" s="37"/>
      <c r="J2111" s="37"/>
      <c r="K2111" s="37"/>
      <c r="L2111" s="37"/>
      <c r="M2111" s="39"/>
      <c r="N2111" s="38">
        <f t="shared" si="32"/>
        <v>0</v>
      </c>
      <c r="O2111" s="37"/>
    </row>
    <row r="2112" spans="1:15" x14ac:dyDescent="0.25">
      <c r="A2112" s="37" t="s">
        <v>241</v>
      </c>
      <c r="B2112" s="41" t="s">
        <v>174</v>
      </c>
      <c r="C2112" s="62">
        <f>VLOOKUP(B2112,合并仓明细!$D$2:$F$74,3,0)</f>
        <v>49</v>
      </c>
      <c r="D2112" t="s">
        <v>393</v>
      </c>
      <c r="E2112" s="41" t="s">
        <v>289</v>
      </c>
      <c r="F2112" s="40" t="s">
        <v>68</v>
      </c>
      <c r="G2112" s="37">
        <v>2950.77</v>
      </c>
      <c r="H2112" s="38">
        <v>6.7899000000000003</v>
      </c>
      <c r="I2112" s="46">
        <f>ROUNDUP(H2112/30,0)*VLOOKUP(D2112,'报价表-配送'!$B$61:$I$65,8,0)</f>
        <v>0</v>
      </c>
      <c r="J2112" s="37"/>
      <c r="K2112" s="37"/>
      <c r="L2112" s="37"/>
      <c r="M2112" s="39"/>
      <c r="N2112" s="38">
        <f t="shared" si="32"/>
        <v>0</v>
      </c>
      <c r="O2112" s="37"/>
    </row>
    <row r="2113" spans="1:15" x14ac:dyDescent="0.25">
      <c r="A2113" s="37" t="s">
        <v>241</v>
      </c>
      <c r="B2113" s="41" t="s">
        <v>174</v>
      </c>
      <c r="C2113" s="62">
        <f>VLOOKUP(B2113,合并仓明细!$D$2:$F$74,3,0)</f>
        <v>49</v>
      </c>
      <c r="D2113" t="s">
        <v>393</v>
      </c>
      <c r="E2113" s="41" t="s">
        <v>289</v>
      </c>
      <c r="F2113" s="40" t="s">
        <v>67</v>
      </c>
      <c r="G2113" s="37">
        <v>834.26</v>
      </c>
      <c r="H2113" s="37"/>
      <c r="I2113" s="38"/>
      <c r="J2113" s="38"/>
      <c r="K2113" s="38"/>
      <c r="L2113" s="37"/>
      <c r="M2113" s="37"/>
      <c r="N2113" s="38">
        <f t="shared" si="32"/>
        <v>0</v>
      </c>
      <c r="O2113" s="37"/>
    </row>
    <row r="2114" spans="1:15" x14ac:dyDescent="0.25">
      <c r="A2114" s="37" t="s">
        <v>241</v>
      </c>
      <c r="B2114" s="41" t="s">
        <v>174</v>
      </c>
      <c r="C2114" s="62">
        <f>VLOOKUP(B2114,合并仓明细!$D$2:$F$74,3,0)</f>
        <v>49</v>
      </c>
      <c r="D2114" t="s">
        <v>393</v>
      </c>
      <c r="E2114" s="41" t="s">
        <v>289</v>
      </c>
      <c r="F2114" s="40" t="s">
        <v>66</v>
      </c>
      <c r="G2114" s="37">
        <v>3004.8700000000008</v>
      </c>
      <c r="H2114" s="37"/>
      <c r="I2114" s="38"/>
      <c r="J2114" s="38"/>
      <c r="K2114" s="38"/>
      <c r="L2114" s="37"/>
      <c r="M2114" s="37"/>
      <c r="N2114" s="38">
        <f t="shared" si="32"/>
        <v>0</v>
      </c>
      <c r="O2114" s="37"/>
    </row>
    <row r="2115" spans="1:15" x14ac:dyDescent="0.25">
      <c r="A2115" s="37" t="s">
        <v>241</v>
      </c>
      <c r="B2115" s="41" t="s">
        <v>174</v>
      </c>
      <c r="C2115" s="62">
        <f>VLOOKUP(B2115,合并仓明细!$D$2:$F$74,3,0)</f>
        <v>49</v>
      </c>
      <c r="D2115" t="s">
        <v>393</v>
      </c>
      <c r="E2115" s="41" t="s">
        <v>349</v>
      </c>
      <c r="F2115" s="40" t="s">
        <v>68</v>
      </c>
      <c r="G2115" s="37">
        <v>1094.4000000000001</v>
      </c>
      <c r="H2115" s="38">
        <v>1.1449400000000001</v>
      </c>
      <c r="I2115" s="46">
        <f>ROUNDUP(H2115/30,0)*VLOOKUP(D2115,'报价表-配送'!$B$61:$I$65,8,0)</f>
        <v>0</v>
      </c>
      <c r="J2115" s="37"/>
      <c r="K2115" s="37"/>
      <c r="L2115" s="37"/>
      <c r="M2115" s="39"/>
      <c r="N2115" s="38">
        <f t="shared" si="32"/>
        <v>0</v>
      </c>
      <c r="O2115" s="37"/>
    </row>
    <row r="2116" spans="1:15" x14ac:dyDescent="0.25">
      <c r="A2116" s="37" t="s">
        <v>241</v>
      </c>
      <c r="B2116" s="41" t="s">
        <v>174</v>
      </c>
      <c r="C2116" s="62">
        <f>VLOOKUP(B2116,合并仓明细!$D$2:$F$74,3,0)</f>
        <v>49</v>
      </c>
      <c r="D2116" t="s">
        <v>393</v>
      </c>
      <c r="E2116" s="41" t="s">
        <v>349</v>
      </c>
      <c r="F2116" s="40" t="s">
        <v>66</v>
      </c>
      <c r="G2116" s="37">
        <v>50.540000000000006</v>
      </c>
      <c r="H2116" s="38"/>
      <c r="I2116" s="37"/>
      <c r="J2116" s="37"/>
      <c r="K2116" s="37"/>
      <c r="L2116" s="37"/>
      <c r="M2116" s="39"/>
      <c r="N2116" s="38">
        <f t="shared" si="32"/>
        <v>0</v>
      </c>
      <c r="O2116" s="37"/>
    </row>
    <row r="2117" spans="1:15" x14ac:dyDescent="0.25">
      <c r="A2117" s="37" t="s">
        <v>241</v>
      </c>
      <c r="B2117" s="41" t="s">
        <v>174</v>
      </c>
      <c r="C2117" s="62">
        <f>VLOOKUP(B2117,合并仓明细!$D$2:$F$74,3,0)</f>
        <v>49</v>
      </c>
      <c r="D2117" t="s">
        <v>393</v>
      </c>
      <c r="E2117" s="41" t="s">
        <v>314</v>
      </c>
      <c r="F2117" s="40" t="s">
        <v>67</v>
      </c>
      <c r="G2117" s="37">
        <v>3502.3</v>
      </c>
      <c r="H2117" s="38">
        <v>3.5905800000000005</v>
      </c>
      <c r="I2117" s="38">
        <f>IF(H2117&gt;30,QUOTIENT(H2117,30)*VLOOKUP(D2117,'报价表-配送'!$B$61:$I$65,8,0),0)+IF(AND(MOD(H2117,30)&gt;18,MOD(H2117,30)&lt;=30),1,0)*VLOOKUP(D2117,'报价表-配送'!$B$61:$I$65,8,0)</f>
        <v>0</v>
      </c>
      <c r="J2117" s="38">
        <f>IF(AND(MOD(H2117,30)&gt;8,MOD(H2117,30)&lt;=18),1*VLOOKUP(D2117,'报价表-配送'!$B$61:$I$65,7,0),0)</f>
        <v>0</v>
      </c>
      <c r="K2117" s="38">
        <f>IF(AND(MOD(H2117,30)&lt;=8,MOD(H2117,30)&gt;0),1,0)*VLOOKUP(D2117,'报价表-配送'!$B$61:$I$65,6,0)</f>
        <v>0</v>
      </c>
      <c r="L2117" s="37"/>
      <c r="M2117" s="39"/>
      <c r="N2117" s="38">
        <f t="shared" si="32"/>
        <v>0</v>
      </c>
      <c r="O2117" s="37"/>
    </row>
    <row r="2118" spans="1:15" x14ac:dyDescent="0.25">
      <c r="A2118" s="37" t="s">
        <v>241</v>
      </c>
      <c r="B2118" s="41" t="s">
        <v>174</v>
      </c>
      <c r="C2118" s="62">
        <f>VLOOKUP(B2118,合并仓明细!$D$2:$F$74,3,0)</f>
        <v>49</v>
      </c>
      <c r="D2118" t="s">
        <v>393</v>
      </c>
      <c r="E2118" s="41" t="s">
        <v>314</v>
      </c>
      <c r="F2118" s="40" t="s">
        <v>66</v>
      </c>
      <c r="G2118" s="37">
        <v>88.279999999999987</v>
      </c>
      <c r="H2118" s="38"/>
      <c r="I2118" s="38"/>
      <c r="J2118" s="38"/>
      <c r="K2118" s="38"/>
      <c r="L2118" s="37"/>
      <c r="M2118" s="39"/>
      <c r="N2118" s="38">
        <f t="shared" si="32"/>
        <v>0</v>
      </c>
      <c r="O2118" s="37"/>
    </row>
    <row r="2119" spans="1:15" x14ac:dyDescent="0.25">
      <c r="A2119" s="37" t="s">
        <v>241</v>
      </c>
      <c r="B2119" s="55" t="s">
        <v>174</v>
      </c>
      <c r="C2119" s="62">
        <f>VLOOKUP(B2119,合并仓明细!$D$2:$F$74,3,0)</f>
        <v>49</v>
      </c>
      <c r="D2119" t="s">
        <v>393</v>
      </c>
      <c r="E2119" s="54" t="s">
        <v>315</v>
      </c>
      <c r="F2119" s="53" t="s">
        <v>68</v>
      </c>
      <c r="G2119">
        <v>75.489999999999995</v>
      </c>
      <c r="H2119">
        <v>1.4096699999999998</v>
      </c>
      <c r="I2119" s="46">
        <f>ROUNDUP(H2119/30,0)*VLOOKUP(D2119,'报价表-配送'!$B$61:$I$65,8,0)</f>
        <v>0</v>
      </c>
      <c r="J2119" s="38"/>
      <c r="K2119" s="38"/>
      <c r="L2119" s="37"/>
      <c r="M2119" s="37"/>
      <c r="N2119" s="38">
        <f t="shared" si="32"/>
        <v>0</v>
      </c>
    </row>
    <row r="2120" spans="1:15" x14ac:dyDescent="0.25">
      <c r="A2120" s="37" t="s">
        <v>241</v>
      </c>
      <c r="B2120" s="43" t="s">
        <v>174</v>
      </c>
      <c r="C2120" s="62">
        <f>VLOOKUP(B2120,合并仓明细!$D$2:$F$74,3,0)</f>
        <v>49</v>
      </c>
      <c r="D2120" t="s">
        <v>393</v>
      </c>
      <c r="E2120" s="54" t="s">
        <v>315</v>
      </c>
      <c r="F2120" s="53" t="s">
        <v>67</v>
      </c>
      <c r="G2120">
        <v>344.1</v>
      </c>
      <c r="H2120"/>
      <c r="N2120" s="38">
        <f t="shared" si="32"/>
        <v>0</v>
      </c>
    </row>
    <row r="2121" spans="1:15" x14ac:dyDescent="0.25">
      <c r="A2121" s="37" t="s">
        <v>241</v>
      </c>
      <c r="B2121" s="43" t="s">
        <v>174</v>
      </c>
      <c r="C2121" s="62">
        <f>VLOOKUP(B2121,合并仓明细!$D$2:$F$74,3,0)</f>
        <v>49</v>
      </c>
      <c r="D2121" t="s">
        <v>393</v>
      </c>
      <c r="E2121" s="54" t="s">
        <v>315</v>
      </c>
      <c r="F2121" s="53" t="s">
        <v>66</v>
      </c>
      <c r="G2121">
        <v>990.07999999999981</v>
      </c>
      <c r="H2121"/>
      <c r="I2121" s="46"/>
      <c r="J2121" s="38"/>
      <c r="K2121" s="38"/>
      <c r="L2121" s="37"/>
      <c r="M2121" s="39"/>
      <c r="N2121" s="38">
        <f t="shared" si="32"/>
        <v>0</v>
      </c>
    </row>
    <row r="2122" spans="1:15" x14ac:dyDescent="0.25">
      <c r="A2122" s="37" t="s">
        <v>241</v>
      </c>
      <c r="B2122" s="43" t="s">
        <v>174</v>
      </c>
      <c r="C2122" s="62">
        <f>VLOOKUP(B2122,合并仓明细!$D$2:$F$74,3,0)</f>
        <v>49</v>
      </c>
      <c r="D2122" t="s">
        <v>393</v>
      </c>
      <c r="E2122" s="54" t="s">
        <v>290</v>
      </c>
      <c r="F2122" s="53" t="s">
        <v>68</v>
      </c>
      <c r="G2122">
        <v>22.99</v>
      </c>
      <c r="H2122">
        <v>2.7201900000000001</v>
      </c>
      <c r="I2122" s="46">
        <f>ROUNDUP(H2122/30,0)*VLOOKUP(D2122,'报价表-配送'!$B$61:$I$65,8,0)</f>
        <v>0</v>
      </c>
      <c r="N2122" s="38">
        <f t="shared" si="32"/>
        <v>0</v>
      </c>
    </row>
    <row r="2123" spans="1:15" x14ac:dyDescent="0.25">
      <c r="A2123" s="37" t="s">
        <v>241</v>
      </c>
      <c r="B2123" s="43" t="s">
        <v>174</v>
      </c>
      <c r="C2123" s="62">
        <f>VLOOKUP(B2123,合并仓明细!$D$2:$F$74,3,0)</f>
        <v>49</v>
      </c>
      <c r="D2123" t="s">
        <v>393</v>
      </c>
      <c r="E2123" s="54" t="s">
        <v>290</v>
      </c>
      <c r="F2123" s="53" t="s">
        <v>67</v>
      </c>
      <c r="G2123">
        <v>1433.13</v>
      </c>
      <c r="H2123"/>
      <c r="N2123" s="38">
        <f t="shared" si="32"/>
        <v>0</v>
      </c>
    </row>
    <row r="2124" spans="1:15" x14ac:dyDescent="0.25">
      <c r="A2124" s="37" t="s">
        <v>241</v>
      </c>
      <c r="B2124" s="43" t="s">
        <v>174</v>
      </c>
      <c r="C2124" s="62">
        <f>VLOOKUP(B2124,合并仓明细!$D$2:$F$74,3,0)</f>
        <v>49</v>
      </c>
      <c r="D2124" t="s">
        <v>393</v>
      </c>
      <c r="E2124" s="54" t="s">
        <v>290</v>
      </c>
      <c r="F2124" s="53" t="s">
        <v>66</v>
      </c>
      <c r="G2124">
        <v>1264.07</v>
      </c>
      <c r="H2124"/>
      <c r="I2124" s="46"/>
      <c r="J2124" s="38"/>
      <c r="K2124" s="38"/>
      <c r="L2124" s="37"/>
      <c r="M2124" s="39"/>
      <c r="N2124" s="38">
        <f t="shared" si="32"/>
        <v>0</v>
      </c>
    </row>
    <row r="2125" spans="1:15" x14ac:dyDescent="0.25">
      <c r="A2125" s="37" t="s">
        <v>241</v>
      </c>
      <c r="B2125" s="43" t="s">
        <v>174</v>
      </c>
      <c r="C2125" s="62">
        <f>VLOOKUP(B2125,合并仓明细!$D$2:$F$74,3,0)</f>
        <v>49</v>
      </c>
      <c r="D2125" t="s">
        <v>393</v>
      </c>
      <c r="E2125" s="54" t="s">
        <v>340</v>
      </c>
      <c r="F2125" s="53" t="s">
        <v>68</v>
      </c>
      <c r="G2125">
        <v>892.5</v>
      </c>
      <c r="H2125">
        <v>1.4714700000000001</v>
      </c>
      <c r="I2125" s="46">
        <f>ROUNDUP(H2125/30,0)*VLOOKUP(D2125,'报价表-配送'!$B$61:$I$65,8,0)</f>
        <v>0</v>
      </c>
      <c r="N2125" s="38">
        <f t="shared" si="32"/>
        <v>0</v>
      </c>
    </row>
    <row r="2126" spans="1:15" x14ac:dyDescent="0.25">
      <c r="A2126" s="37" t="s">
        <v>241</v>
      </c>
      <c r="B2126" s="43" t="s">
        <v>174</v>
      </c>
      <c r="C2126" s="62">
        <f>VLOOKUP(B2126,合并仓明细!$D$2:$F$74,3,0)</f>
        <v>49</v>
      </c>
      <c r="D2126" t="s">
        <v>393</v>
      </c>
      <c r="E2126" s="54" t="s">
        <v>340</v>
      </c>
      <c r="F2126" s="53" t="s">
        <v>67</v>
      </c>
      <c r="G2126">
        <v>553.20999999999992</v>
      </c>
      <c r="H2126"/>
      <c r="N2126" s="38">
        <f t="shared" si="32"/>
        <v>0</v>
      </c>
    </row>
    <row r="2127" spans="1:15" x14ac:dyDescent="0.25">
      <c r="A2127" s="37" t="s">
        <v>241</v>
      </c>
      <c r="B2127" s="43" t="s">
        <v>174</v>
      </c>
      <c r="C2127" s="62">
        <f>VLOOKUP(B2127,合并仓明细!$D$2:$F$74,3,0)</f>
        <v>49</v>
      </c>
      <c r="D2127" t="s">
        <v>393</v>
      </c>
      <c r="E2127" s="54" t="s">
        <v>340</v>
      </c>
      <c r="F2127" s="53" t="s">
        <v>66</v>
      </c>
      <c r="G2127">
        <v>25.76</v>
      </c>
      <c r="H2127"/>
      <c r="I2127" s="46"/>
      <c r="J2127" s="38"/>
      <c r="K2127" s="38"/>
      <c r="L2127" s="37"/>
      <c r="M2127" s="39"/>
      <c r="N2127" s="38">
        <f t="shared" si="32"/>
        <v>0</v>
      </c>
    </row>
    <row r="2128" spans="1:15" x14ac:dyDescent="0.25">
      <c r="A2128" s="37" t="s">
        <v>241</v>
      </c>
      <c r="B2128" s="43" t="s">
        <v>174</v>
      </c>
      <c r="C2128" s="62">
        <f>VLOOKUP(B2128,合并仓明细!$D$2:$F$74,3,0)</f>
        <v>49</v>
      </c>
      <c r="D2128" t="s">
        <v>393</v>
      </c>
      <c r="E2128" s="54" t="s">
        <v>316</v>
      </c>
      <c r="F2128" s="53" t="s">
        <v>68</v>
      </c>
      <c r="G2128">
        <v>134.08999999999997</v>
      </c>
      <c r="H2128">
        <v>5.8369999999999997</v>
      </c>
      <c r="I2128" s="46">
        <f>ROUNDUP(H2128/30,0)*VLOOKUP(D2128,'报价表-配送'!$B$61:$I$65,8,0)</f>
        <v>0</v>
      </c>
      <c r="N2128" s="38">
        <f t="shared" si="32"/>
        <v>0</v>
      </c>
    </row>
    <row r="2129" spans="1:14" x14ac:dyDescent="0.25">
      <c r="A2129" s="37" t="s">
        <v>241</v>
      </c>
      <c r="B2129" s="43" t="s">
        <v>174</v>
      </c>
      <c r="C2129" s="62">
        <f>VLOOKUP(B2129,合并仓明细!$D$2:$F$74,3,0)</f>
        <v>49</v>
      </c>
      <c r="D2129" t="s">
        <v>393</v>
      </c>
      <c r="E2129" s="54" t="s">
        <v>316</v>
      </c>
      <c r="F2129" s="53" t="s">
        <v>67</v>
      </c>
      <c r="G2129">
        <v>2518.66</v>
      </c>
      <c r="H2129"/>
      <c r="N2129" s="38">
        <f t="shared" si="32"/>
        <v>0</v>
      </c>
    </row>
    <row r="2130" spans="1:14" x14ac:dyDescent="0.25">
      <c r="A2130" s="37" t="s">
        <v>241</v>
      </c>
      <c r="B2130" s="43" t="s">
        <v>174</v>
      </c>
      <c r="C2130" s="62">
        <f>VLOOKUP(B2130,合并仓明细!$D$2:$F$74,3,0)</f>
        <v>49</v>
      </c>
      <c r="D2130" t="s">
        <v>393</v>
      </c>
      <c r="E2130" s="54" t="s">
        <v>316</v>
      </c>
      <c r="F2130" s="53" t="s">
        <v>66</v>
      </c>
      <c r="G2130">
        <v>3184.2500000000005</v>
      </c>
      <c r="H2130"/>
      <c r="I2130" s="46"/>
      <c r="J2130" s="38"/>
      <c r="K2130" s="38"/>
      <c r="L2130" s="37"/>
      <c r="M2130" s="39"/>
      <c r="N2130" s="38">
        <f t="shared" si="32"/>
        <v>0</v>
      </c>
    </row>
    <row r="2131" spans="1:14" x14ac:dyDescent="0.25">
      <c r="A2131" s="37" t="s">
        <v>241</v>
      </c>
      <c r="B2131" s="43" t="s">
        <v>174</v>
      </c>
      <c r="C2131" s="62">
        <f>VLOOKUP(B2131,合并仓明细!$D$2:$F$74,3,0)</f>
        <v>49</v>
      </c>
      <c r="D2131" t="s">
        <v>393</v>
      </c>
      <c r="E2131" s="54" t="s">
        <v>248</v>
      </c>
      <c r="F2131" s="53" t="s">
        <v>68</v>
      </c>
      <c r="G2131">
        <v>9580.99</v>
      </c>
      <c r="H2131">
        <v>14.70068</v>
      </c>
      <c r="I2131" s="46">
        <f>ROUNDUP(H2131/30,0)*VLOOKUP(D2131,'报价表-配送'!$B$61:$I$65,8,0)</f>
        <v>0</v>
      </c>
      <c r="N2131" s="38">
        <f t="shared" si="32"/>
        <v>0</v>
      </c>
    </row>
    <row r="2132" spans="1:14" x14ac:dyDescent="0.25">
      <c r="A2132" s="37" t="s">
        <v>241</v>
      </c>
      <c r="B2132" s="43" t="s">
        <v>174</v>
      </c>
      <c r="C2132" s="62">
        <f>VLOOKUP(B2132,合并仓明细!$D$2:$F$74,3,0)</f>
        <v>49</v>
      </c>
      <c r="D2132" t="s">
        <v>393</v>
      </c>
      <c r="E2132" s="54" t="s">
        <v>248</v>
      </c>
      <c r="F2132" s="53" t="s">
        <v>67</v>
      </c>
      <c r="G2132">
        <v>4621.17</v>
      </c>
      <c r="H2132"/>
      <c r="N2132" s="38">
        <f t="shared" si="32"/>
        <v>0</v>
      </c>
    </row>
    <row r="2133" spans="1:14" x14ac:dyDescent="0.25">
      <c r="A2133" s="37" t="s">
        <v>241</v>
      </c>
      <c r="B2133" s="43" t="s">
        <v>174</v>
      </c>
      <c r="C2133" s="62">
        <f>VLOOKUP(B2133,合并仓明细!$D$2:$F$74,3,0)</f>
        <v>49</v>
      </c>
      <c r="D2133" t="s">
        <v>393</v>
      </c>
      <c r="E2133" s="54" t="s">
        <v>248</v>
      </c>
      <c r="F2133" s="53" t="s">
        <v>66</v>
      </c>
      <c r="G2133">
        <v>498.52000000000004</v>
      </c>
      <c r="H2133"/>
      <c r="I2133" s="38"/>
      <c r="J2133" s="38"/>
      <c r="K2133" s="38"/>
      <c r="L2133" s="37"/>
      <c r="M2133" s="37"/>
      <c r="N2133" s="38">
        <f t="shared" si="32"/>
        <v>0</v>
      </c>
    </row>
    <row r="2134" spans="1:14" x14ac:dyDescent="0.25">
      <c r="A2134" s="37" t="s">
        <v>241</v>
      </c>
      <c r="B2134" s="43" t="s">
        <v>174</v>
      </c>
      <c r="C2134" s="62">
        <f>VLOOKUP(B2134,合并仓明细!$D$2:$F$74,3,0)</f>
        <v>49</v>
      </c>
      <c r="D2134" t="s">
        <v>393</v>
      </c>
      <c r="E2134" s="54" t="s">
        <v>291</v>
      </c>
      <c r="F2134" s="53" t="s">
        <v>68</v>
      </c>
      <c r="G2134">
        <v>1697.92</v>
      </c>
      <c r="H2134">
        <v>7.2987700000000002</v>
      </c>
      <c r="I2134" s="46">
        <f>ROUNDUP(H2134/30,0)*VLOOKUP(D2134,'报价表-配送'!$B$61:$I$65,8,0)</f>
        <v>0</v>
      </c>
      <c r="N2134" s="38">
        <f t="shared" si="32"/>
        <v>0</v>
      </c>
    </row>
    <row r="2135" spans="1:14" x14ac:dyDescent="0.25">
      <c r="A2135" s="37" t="s">
        <v>241</v>
      </c>
      <c r="B2135" s="43" t="s">
        <v>174</v>
      </c>
      <c r="C2135" s="62">
        <f>VLOOKUP(B2135,合并仓明细!$D$2:$F$74,3,0)</f>
        <v>49</v>
      </c>
      <c r="D2135" t="s">
        <v>393</v>
      </c>
      <c r="E2135" s="54" t="s">
        <v>291</v>
      </c>
      <c r="F2135" s="53" t="s">
        <v>67</v>
      </c>
      <c r="G2135">
        <v>3243.9500000000003</v>
      </c>
      <c r="H2135"/>
      <c r="I2135" s="46"/>
      <c r="J2135" s="38"/>
      <c r="K2135" s="38"/>
      <c r="L2135" s="37"/>
      <c r="M2135" s="39"/>
      <c r="N2135" s="38">
        <f t="shared" si="32"/>
        <v>0</v>
      </c>
    </row>
    <row r="2136" spans="1:14" x14ac:dyDescent="0.25">
      <c r="A2136" s="37" t="s">
        <v>241</v>
      </c>
      <c r="B2136" s="43" t="s">
        <v>174</v>
      </c>
      <c r="C2136" s="62">
        <f>VLOOKUP(B2136,合并仓明细!$D$2:$F$74,3,0)</f>
        <v>49</v>
      </c>
      <c r="D2136" t="s">
        <v>393</v>
      </c>
      <c r="E2136" s="54" t="s">
        <v>291</v>
      </c>
      <c r="F2136" s="53" t="s">
        <v>66</v>
      </c>
      <c r="G2136">
        <v>2356.8999999999996</v>
      </c>
      <c r="H2136"/>
      <c r="N2136" s="38">
        <f t="shared" si="32"/>
        <v>0</v>
      </c>
    </row>
    <row r="2137" spans="1:14" x14ac:dyDescent="0.25">
      <c r="A2137" s="37" t="s">
        <v>241</v>
      </c>
      <c r="B2137" s="43" t="s">
        <v>174</v>
      </c>
      <c r="C2137" s="62">
        <f>VLOOKUP(B2137,合并仓明细!$D$2:$F$74,3,0)</f>
        <v>49</v>
      </c>
      <c r="D2137" t="s">
        <v>393</v>
      </c>
      <c r="E2137" s="54" t="s">
        <v>341</v>
      </c>
      <c r="F2137" s="53" t="s">
        <v>68</v>
      </c>
      <c r="G2137">
        <v>32.28</v>
      </c>
      <c r="H2137">
        <v>11.798269999999999</v>
      </c>
      <c r="I2137" s="46">
        <f>ROUNDUP(H2137/30,0)*VLOOKUP(D2137,'报价表-配送'!$B$61:$I$65,8,0)</f>
        <v>0</v>
      </c>
      <c r="N2137" s="38">
        <f t="shared" si="32"/>
        <v>0</v>
      </c>
    </row>
    <row r="2138" spans="1:14" x14ac:dyDescent="0.25">
      <c r="A2138" s="37" t="s">
        <v>241</v>
      </c>
      <c r="B2138" s="43" t="s">
        <v>174</v>
      </c>
      <c r="C2138" s="62">
        <f>VLOOKUP(B2138,合并仓明细!$D$2:$F$74,3,0)</f>
        <v>49</v>
      </c>
      <c r="D2138" t="s">
        <v>393</v>
      </c>
      <c r="E2138" s="54" t="s">
        <v>341</v>
      </c>
      <c r="F2138" s="53" t="s">
        <v>67</v>
      </c>
      <c r="G2138">
        <v>11351.259999999998</v>
      </c>
      <c r="H2138"/>
      <c r="I2138" s="46"/>
      <c r="J2138" s="38"/>
      <c r="K2138" s="38"/>
      <c r="L2138" s="37"/>
      <c r="M2138" s="39"/>
      <c r="N2138" s="38">
        <f t="shared" si="32"/>
        <v>0</v>
      </c>
    </row>
    <row r="2139" spans="1:14" x14ac:dyDescent="0.25">
      <c r="A2139" s="37" t="s">
        <v>241</v>
      </c>
      <c r="B2139" s="43" t="s">
        <v>174</v>
      </c>
      <c r="C2139" s="62">
        <f>VLOOKUP(B2139,合并仓明细!$D$2:$F$74,3,0)</f>
        <v>49</v>
      </c>
      <c r="D2139" t="s">
        <v>393</v>
      </c>
      <c r="E2139" s="54" t="s">
        <v>341</v>
      </c>
      <c r="F2139" s="53" t="s">
        <v>66</v>
      </c>
      <c r="G2139">
        <v>414.72999999999979</v>
      </c>
      <c r="H2139"/>
      <c r="N2139" s="38">
        <f t="shared" si="32"/>
        <v>0</v>
      </c>
    </row>
    <row r="2140" spans="1:14" x14ac:dyDescent="0.25">
      <c r="A2140" s="37" t="s">
        <v>241</v>
      </c>
      <c r="B2140" s="43" t="s">
        <v>174</v>
      </c>
      <c r="C2140" s="62">
        <f>VLOOKUP(B2140,合并仓明细!$D$2:$F$74,3,0)</f>
        <v>49</v>
      </c>
      <c r="D2140" t="s">
        <v>393</v>
      </c>
      <c r="E2140" s="54" t="s">
        <v>292</v>
      </c>
      <c r="F2140" s="53" t="s">
        <v>67</v>
      </c>
      <c r="G2140">
        <v>1970.3899999999999</v>
      </c>
      <c r="H2140">
        <v>2.1011099999999998</v>
      </c>
      <c r="I2140" s="38">
        <f>IF(H2140&gt;30,QUOTIENT(H2140,30)*VLOOKUP(D2140,'报价表-配送'!$B$61:$I$65,8,0),0)+IF(AND(MOD(H2140,30)&gt;18,MOD(H2140,30)&lt;=30),1,0)*VLOOKUP(D2140,'报价表-配送'!$B$61:$I$65,8,0)</f>
        <v>0</v>
      </c>
      <c r="J2140" s="38">
        <f>IF(AND(MOD(H2140,30)&gt;8,MOD(H2140,30)&lt;=18),1*VLOOKUP(D2140,'报价表-配送'!$B$61:$I$65,7,0),0)</f>
        <v>0</v>
      </c>
      <c r="K2140" s="38">
        <f>IF(AND(MOD(H2140,30)&lt;=8,MOD(H2140,30)&gt;0),1,0)*VLOOKUP(D2140,'报价表-配送'!$B$61:$I$65,6,0)</f>
        <v>0</v>
      </c>
      <c r="N2140" s="38">
        <f t="shared" si="32"/>
        <v>0</v>
      </c>
    </row>
    <row r="2141" spans="1:14" x14ac:dyDescent="0.25">
      <c r="A2141" s="37" t="s">
        <v>241</v>
      </c>
      <c r="B2141" s="43" t="s">
        <v>174</v>
      </c>
      <c r="C2141" s="62">
        <f>VLOOKUP(B2141,合并仓明细!$D$2:$F$74,3,0)</f>
        <v>49</v>
      </c>
      <c r="D2141" t="s">
        <v>393</v>
      </c>
      <c r="E2141" s="54" t="s">
        <v>292</v>
      </c>
      <c r="F2141" s="53" t="s">
        <v>66</v>
      </c>
      <c r="G2141">
        <v>130.72</v>
      </c>
      <c r="H2141"/>
      <c r="L2141" s="37"/>
      <c r="M2141" s="39"/>
      <c r="N2141" s="38">
        <f t="shared" si="32"/>
        <v>0</v>
      </c>
    </row>
    <row r="2142" spans="1:14" x14ac:dyDescent="0.25">
      <c r="A2142" s="37" t="s">
        <v>241</v>
      </c>
      <c r="B2142" s="43" t="s">
        <v>174</v>
      </c>
      <c r="C2142" s="62">
        <f>VLOOKUP(B2142,合并仓明细!$D$2:$F$74,3,0)</f>
        <v>49</v>
      </c>
      <c r="D2142" t="s">
        <v>393</v>
      </c>
      <c r="E2142" s="54" t="s">
        <v>359</v>
      </c>
      <c r="F2142" s="53" t="s">
        <v>68</v>
      </c>
      <c r="G2142">
        <v>988.7700000000001</v>
      </c>
      <c r="H2142">
        <v>1.3216300000000001</v>
      </c>
      <c r="I2142" s="46">
        <f>ROUNDUP(H2142/30,0)*VLOOKUP(D2142,'报价表-配送'!$B$61:$I$65,8,0)</f>
        <v>0</v>
      </c>
      <c r="J2142" s="38"/>
      <c r="K2142" s="38"/>
      <c r="L2142" s="37"/>
      <c r="M2142" s="39"/>
      <c r="N2142" s="38">
        <f t="shared" si="32"/>
        <v>0</v>
      </c>
    </row>
    <row r="2143" spans="1:14" x14ac:dyDescent="0.25">
      <c r="A2143" s="37" t="s">
        <v>241</v>
      </c>
      <c r="B2143" s="43" t="s">
        <v>174</v>
      </c>
      <c r="C2143" s="62">
        <f>VLOOKUP(B2143,合并仓明细!$D$2:$F$74,3,0)</f>
        <v>49</v>
      </c>
      <c r="D2143" t="s">
        <v>393</v>
      </c>
      <c r="E2143" s="54" t="s">
        <v>359</v>
      </c>
      <c r="F2143" s="53" t="s">
        <v>67</v>
      </c>
      <c r="G2143">
        <v>111.85</v>
      </c>
      <c r="H2143"/>
      <c r="N2143" s="38">
        <f t="shared" si="32"/>
        <v>0</v>
      </c>
    </row>
    <row r="2144" spans="1:14" x14ac:dyDescent="0.25">
      <c r="A2144" s="37" t="s">
        <v>241</v>
      </c>
      <c r="B2144" s="43" t="s">
        <v>174</v>
      </c>
      <c r="C2144" s="62">
        <f>VLOOKUP(B2144,合并仓明细!$D$2:$F$74,3,0)</f>
        <v>49</v>
      </c>
      <c r="D2144" t="s">
        <v>393</v>
      </c>
      <c r="E2144" s="54" t="s">
        <v>359</v>
      </c>
      <c r="F2144" s="53" t="s">
        <v>66</v>
      </c>
      <c r="G2144">
        <v>221.01000000000002</v>
      </c>
      <c r="H2144"/>
      <c r="N2144" s="38">
        <f t="shared" si="32"/>
        <v>0</v>
      </c>
    </row>
    <row r="2145" spans="1:14" x14ac:dyDescent="0.25">
      <c r="A2145" s="37" t="s">
        <v>241</v>
      </c>
      <c r="B2145" s="43" t="s">
        <v>174</v>
      </c>
      <c r="C2145" s="62">
        <f>VLOOKUP(B2145,合并仓明细!$D$2:$F$74,3,0)</f>
        <v>49</v>
      </c>
      <c r="D2145" t="s">
        <v>393</v>
      </c>
      <c r="E2145" s="54" t="s">
        <v>293</v>
      </c>
      <c r="F2145" s="53" t="s">
        <v>66</v>
      </c>
      <c r="G2145">
        <v>53.5</v>
      </c>
      <c r="H2145">
        <v>5.3499999999999999E-2</v>
      </c>
      <c r="I2145" s="46"/>
      <c r="J2145" s="38"/>
      <c r="K2145" s="38"/>
      <c r="L2145" s="37">
        <f>IF(H2145&gt;30,QUOTIENT(H2145,30)*VLOOKUP(D2145,'报价表-配送'!$B$61:$I$65,8,0),0)+IF(AND(MOD(H2145,30)&gt;18,MOD(H2145,30)&lt;=30),1,0)*VLOOKUP(D2145,'报价表-配送'!$B$61:$I$65,8,0)+IF(AND(MOD(H2145,30)&gt;8,MOD(H2145,30)&lt;=18),1*VLOOKUP(D2145,'报价表-配送'!$B$61:$I$65,7,0),0)+IF(AND(MOD(H2145,30)&lt;=8,MOD(H2145,30)&gt;2.5),1,0)*VLOOKUP(D2145,'报价表-配送'!$B$61:$I$65,6,0)+IF(AND(MOD(H2145,30)&lt;=2.5,MOD(H2145,30)&gt;=1.5),1,0)*VLOOKUP(D2145,'报价表-配送'!$B$61:$I$65,5,0)</f>
        <v>0</v>
      </c>
      <c r="M2145" s="39">
        <f>IF(AND(MOD(H2145,30)&lt;1.5,MOD(H2145,30)&gt;=0.5),H2145,0)*VLOOKUP(D2145,'报价表-配送'!$B$61:$I$65,4,0)*1000+IF(AND(MOD(H2145,30)&lt;0.5,MOD(H2145,30)&gt;=0.02),H2145,0)*VLOOKUP(D2145,'报价表-配送'!$B$61:$I$65,3,0)*1000+IF(AND(MOD(H2145,30)&lt;0.02),H2145,0)*VLOOKUP(D2145,'报价表-配送'!$B$61:$I$65,2,0)*1000</f>
        <v>0</v>
      </c>
      <c r="N2145" s="38">
        <f t="shared" si="32"/>
        <v>0</v>
      </c>
    </row>
    <row r="2146" spans="1:14" x14ac:dyDescent="0.25">
      <c r="A2146" s="37" t="s">
        <v>241</v>
      </c>
      <c r="B2146" s="43" t="s">
        <v>174</v>
      </c>
      <c r="C2146" s="62">
        <f>VLOOKUP(B2146,合并仓明细!$D$2:$F$74,3,0)</f>
        <v>49</v>
      </c>
      <c r="D2146" t="s">
        <v>393</v>
      </c>
      <c r="E2146" s="54" t="s">
        <v>342</v>
      </c>
      <c r="F2146" s="53" t="s">
        <v>66</v>
      </c>
      <c r="G2146">
        <v>1992</v>
      </c>
      <c r="H2146">
        <v>1.992</v>
      </c>
      <c r="L2146" s="37">
        <f>IF(H2146&gt;30,QUOTIENT(H2146,30)*VLOOKUP(D2146,'报价表-配送'!$B$61:$I$65,8,0),0)+IF(AND(MOD(H2146,30)&gt;18,MOD(H2146,30)&lt;=30),1,0)*VLOOKUP(D2146,'报价表-配送'!$B$61:$I$65,8,0)+IF(AND(MOD(H2146,30)&gt;8,MOD(H2146,30)&lt;=18),1*VLOOKUP(D2146,'报价表-配送'!$B$61:$I$65,7,0),0)+IF(AND(MOD(H2146,30)&lt;=8,MOD(H2146,30)&gt;2.5),1,0)*VLOOKUP(D2146,'报价表-配送'!$B$61:$I$65,6,0)+IF(AND(MOD(H2146,30)&lt;=2.5,MOD(H2146,30)&gt;=1.5),1,0)*VLOOKUP(D2146,'报价表-配送'!$B$61:$I$65,5,0)</f>
        <v>0</v>
      </c>
      <c r="M2146" s="39">
        <f>IF(AND(MOD(H2146,30)&lt;1.5,MOD(H2146,30)&gt;=0.5),H2146,0)*VLOOKUP(D2146,'报价表-配送'!$B$61:$I$65,4,0)*1000+IF(AND(MOD(H2146,30)&lt;0.5,MOD(H2146,30)&gt;=0.02),H2146,0)*VLOOKUP(D2146,'报价表-配送'!$B$61:$I$65,3,0)*1000+IF(AND(MOD(H2146,30)&lt;0.02),H2146,0)*VLOOKUP(D2146,'报价表-配送'!$B$61:$I$65,2,0)*1000</f>
        <v>0</v>
      </c>
      <c r="N2146" s="38">
        <f t="shared" si="32"/>
        <v>0</v>
      </c>
    </row>
    <row r="2147" spans="1:14" x14ac:dyDescent="0.25">
      <c r="A2147" s="37" t="s">
        <v>241</v>
      </c>
      <c r="B2147" s="43" t="s">
        <v>174</v>
      </c>
      <c r="C2147" s="62">
        <f>VLOOKUP(B2147,合并仓明细!$D$2:$F$74,3,0)</f>
        <v>49</v>
      </c>
      <c r="D2147" t="s">
        <v>393</v>
      </c>
      <c r="E2147" s="54" t="s">
        <v>358</v>
      </c>
      <c r="F2147" s="53" t="s">
        <v>66</v>
      </c>
      <c r="G2147">
        <v>286.99</v>
      </c>
      <c r="H2147">
        <v>0.28699000000000002</v>
      </c>
      <c r="L2147" s="37">
        <f>IF(H2147&gt;30,QUOTIENT(H2147,30)*VLOOKUP(D2147,'报价表-配送'!$B$61:$I$65,8,0),0)+IF(AND(MOD(H2147,30)&gt;18,MOD(H2147,30)&lt;=30),1,0)*VLOOKUP(D2147,'报价表-配送'!$B$61:$I$65,8,0)+IF(AND(MOD(H2147,30)&gt;8,MOD(H2147,30)&lt;=18),1*VLOOKUP(D2147,'报价表-配送'!$B$61:$I$65,7,0),0)+IF(AND(MOD(H2147,30)&lt;=8,MOD(H2147,30)&gt;2.5),1,0)*VLOOKUP(D2147,'报价表-配送'!$B$61:$I$65,6,0)+IF(AND(MOD(H2147,30)&lt;=2.5,MOD(H2147,30)&gt;=1.5),1,0)*VLOOKUP(D2147,'报价表-配送'!$B$61:$I$65,5,0)</f>
        <v>0</v>
      </c>
      <c r="M2147" s="39">
        <f>IF(AND(MOD(H2147,30)&lt;1.5,MOD(H2147,30)&gt;=0.5),H2147,0)*VLOOKUP(D2147,'报价表-配送'!$B$61:$I$65,4,0)*1000+IF(AND(MOD(H2147,30)&lt;0.5,MOD(H2147,30)&gt;=0.02),H2147,0)*VLOOKUP(D2147,'报价表-配送'!$B$61:$I$65,3,0)*1000+IF(AND(MOD(H2147,30)&lt;0.02),H2147,0)*VLOOKUP(D2147,'报价表-配送'!$B$61:$I$65,2,0)*1000</f>
        <v>0</v>
      </c>
      <c r="N2147" s="38">
        <f t="shared" si="32"/>
        <v>0</v>
      </c>
    </row>
    <row r="2148" spans="1:14" x14ac:dyDescent="0.25">
      <c r="A2148" s="37" t="s">
        <v>241</v>
      </c>
      <c r="B2148" s="43" t="s">
        <v>174</v>
      </c>
      <c r="C2148" s="62">
        <f>VLOOKUP(B2148,合并仓明细!$D$2:$F$74,3,0)</f>
        <v>49</v>
      </c>
      <c r="D2148" t="s">
        <v>393</v>
      </c>
      <c r="E2148" s="54" t="s">
        <v>295</v>
      </c>
      <c r="F2148" s="53" t="s">
        <v>66</v>
      </c>
      <c r="G2148">
        <v>7.1</v>
      </c>
      <c r="H2148">
        <v>7.0999999999999995E-3</v>
      </c>
      <c r="I2148" s="46"/>
      <c r="J2148" s="38"/>
      <c r="K2148" s="38"/>
      <c r="L2148" s="37">
        <f>IF(H2148&gt;30,QUOTIENT(H2148,30)*VLOOKUP(D2148,'报价表-配送'!$B$61:$I$65,8,0),0)+IF(AND(MOD(H2148,30)&gt;18,MOD(H2148,30)&lt;=30),1,0)*VLOOKUP(D2148,'报价表-配送'!$B$61:$I$65,8,0)+IF(AND(MOD(H2148,30)&gt;8,MOD(H2148,30)&lt;=18),1*VLOOKUP(D2148,'报价表-配送'!$B$61:$I$65,7,0),0)+IF(AND(MOD(H2148,30)&lt;=8,MOD(H2148,30)&gt;2.5),1,0)*VLOOKUP(D2148,'报价表-配送'!$B$61:$I$65,6,0)+IF(AND(MOD(H2148,30)&lt;=2.5,MOD(H2148,30)&gt;=1.5),1,0)*VLOOKUP(D2148,'报价表-配送'!$B$61:$I$65,5,0)</f>
        <v>0</v>
      </c>
      <c r="M2148" s="39">
        <f>IF(AND(MOD(H2148,30)&lt;1.5,MOD(H2148,30)&gt;=0.5),H2148,0)*VLOOKUP(D2148,'报价表-配送'!$B$61:$I$65,4,0)*1000+IF(AND(MOD(H2148,30)&lt;0.5,MOD(H2148,30)&gt;=0.02),H2148,0)*VLOOKUP(D2148,'报价表-配送'!$B$61:$I$65,3,0)*1000+IF(AND(MOD(H2148,30)&lt;0.02),H2148,0)*VLOOKUP(D2148,'报价表-配送'!$B$61:$I$65,2,0)*1000</f>
        <v>0</v>
      </c>
      <c r="N2148" s="38">
        <f t="shared" si="32"/>
        <v>0</v>
      </c>
    </row>
    <row r="2149" spans="1:14" x14ac:dyDescent="0.25">
      <c r="A2149" s="37" t="s">
        <v>241</v>
      </c>
      <c r="B2149" s="43" t="s">
        <v>174</v>
      </c>
      <c r="C2149" s="62">
        <f>VLOOKUP(B2149,合并仓明细!$D$2:$F$74,3,0)</f>
        <v>49</v>
      </c>
      <c r="D2149" t="s">
        <v>393</v>
      </c>
      <c r="E2149" s="54" t="s">
        <v>317</v>
      </c>
      <c r="F2149" s="53" t="s">
        <v>68</v>
      </c>
      <c r="G2149">
        <v>2170.73</v>
      </c>
      <c r="H2149">
        <v>6.3063900000000013</v>
      </c>
      <c r="I2149" s="46">
        <f>ROUNDUP(H2149/30,0)*VLOOKUP(D2149,'报价表-配送'!$B$61:$I$65,8,0)</f>
        <v>0</v>
      </c>
      <c r="N2149" s="38">
        <f t="shared" si="32"/>
        <v>0</v>
      </c>
    </row>
    <row r="2150" spans="1:14" x14ac:dyDescent="0.25">
      <c r="A2150" s="37" t="s">
        <v>241</v>
      </c>
      <c r="B2150" s="43" t="s">
        <v>174</v>
      </c>
      <c r="C2150" s="62">
        <f>VLOOKUP(B2150,合并仓明细!$D$2:$F$74,3,0)</f>
        <v>49</v>
      </c>
      <c r="D2150" t="s">
        <v>393</v>
      </c>
      <c r="E2150" s="54" t="s">
        <v>317</v>
      </c>
      <c r="F2150" s="53" t="s">
        <v>67</v>
      </c>
      <c r="G2150">
        <v>3886.2200000000003</v>
      </c>
      <c r="H2150"/>
      <c r="N2150" s="38">
        <f t="shared" si="32"/>
        <v>0</v>
      </c>
    </row>
    <row r="2151" spans="1:14" x14ac:dyDescent="0.25">
      <c r="A2151" s="37" t="s">
        <v>241</v>
      </c>
      <c r="B2151" s="43" t="s">
        <v>174</v>
      </c>
      <c r="C2151" s="62">
        <f>VLOOKUP(B2151,合并仓明细!$D$2:$F$74,3,0)</f>
        <v>49</v>
      </c>
      <c r="D2151" t="s">
        <v>393</v>
      </c>
      <c r="E2151" s="54" t="s">
        <v>317</v>
      </c>
      <c r="F2151" s="53" t="s">
        <v>66</v>
      </c>
      <c r="G2151">
        <v>249.44000000000005</v>
      </c>
      <c r="H2151"/>
      <c r="I2151" s="46"/>
      <c r="J2151" s="38"/>
      <c r="K2151" s="38"/>
      <c r="L2151" s="37"/>
      <c r="M2151" s="39"/>
      <c r="N2151" s="38">
        <f t="shared" si="32"/>
        <v>0</v>
      </c>
    </row>
    <row r="2152" spans="1:14" x14ac:dyDescent="0.25">
      <c r="A2152" s="37" t="s">
        <v>241</v>
      </c>
      <c r="B2152" s="43" t="s">
        <v>174</v>
      </c>
      <c r="C2152" s="62">
        <f>VLOOKUP(B2152,合并仓明细!$D$2:$F$74,3,0)</f>
        <v>49</v>
      </c>
      <c r="D2152" t="s">
        <v>393</v>
      </c>
      <c r="E2152" s="54" t="s">
        <v>325</v>
      </c>
      <c r="F2152" s="53" t="s">
        <v>68</v>
      </c>
      <c r="G2152">
        <v>274.71000000000004</v>
      </c>
      <c r="H2152">
        <v>2.2970600000000005</v>
      </c>
      <c r="I2152" s="46">
        <f>ROUNDUP(H2152/30,0)*VLOOKUP(D2152,'报价表-配送'!$B$61:$I$65,8,0)</f>
        <v>0</v>
      </c>
      <c r="J2152" s="38"/>
      <c r="K2152" s="38"/>
      <c r="L2152" s="37"/>
      <c r="M2152" s="39"/>
      <c r="N2152" s="38">
        <f t="shared" si="32"/>
        <v>0</v>
      </c>
    </row>
    <row r="2153" spans="1:14" x14ac:dyDescent="0.25">
      <c r="A2153" s="37" t="s">
        <v>241</v>
      </c>
      <c r="B2153" s="43" t="s">
        <v>174</v>
      </c>
      <c r="C2153" s="62">
        <f>VLOOKUP(B2153,合并仓明细!$D$2:$F$74,3,0)</f>
        <v>49</v>
      </c>
      <c r="D2153" t="s">
        <v>393</v>
      </c>
      <c r="E2153" s="54" t="s">
        <v>325</v>
      </c>
      <c r="F2153" s="53" t="s">
        <v>67</v>
      </c>
      <c r="G2153">
        <v>1716.2400000000002</v>
      </c>
      <c r="H2153"/>
      <c r="N2153" s="38">
        <f t="shared" si="32"/>
        <v>0</v>
      </c>
    </row>
    <row r="2154" spans="1:14" x14ac:dyDescent="0.25">
      <c r="A2154" s="37" t="s">
        <v>241</v>
      </c>
      <c r="B2154" s="43" t="s">
        <v>174</v>
      </c>
      <c r="C2154" s="62">
        <f>VLOOKUP(B2154,合并仓明细!$D$2:$F$74,3,0)</f>
        <v>49</v>
      </c>
      <c r="D2154" t="s">
        <v>393</v>
      </c>
      <c r="E2154" s="54" t="s">
        <v>325</v>
      </c>
      <c r="F2154" s="53" t="s">
        <v>66</v>
      </c>
      <c r="G2154">
        <v>306.11</v>
      </c>
      <c r="H2154"/>
      <c r="N2154" s="38">
        <f t="shared" si="32"/>
        <v>0</v>
      </c>
    </row>
    <row r="2155" spans="1:14" x14ac:dyDescent="0.25">
      <c r="A2155" s="37" t="s">
        <v>241</v>
      </c>
      <c r="B2155" s="43" t="s">
        <v>174</v>
      </c>
      <c r="C2155" s="62">
        <f>VLOOKUP(B2155,合并仓明细!$D$2:$F$74,3,0)</f>
        <v>49</v>
      </c>
      <c r="D2155" t="s">
        <v>393</v>
      </c>
      <c r="E2155" s="54" t="s">
        <v>297</v>
      </c>
      <c r="F2155" s="53" t="s">
        <v>66</v>
      </c>
      <c r="G2155">
        <v>429.35</v>
      </c>
      <c r="H2155">
        <v>0.42935000000000001</v>
      </c>
      <c r="I2155" s="46"/>
      <c r="J2155" s="38"/>
      <c r="K2155" s="38"/>
      <c r="L2155" s="37">
        <f>IF(H2155&gt;30,QUOTIENT(H2155,30)*VLOOKUP(D2155,'报价表-配送'!$B$61:$I$65,8,0),0)+IF(AND(MOD(H2155,30)&gt;18,MOD(H2155,30)&lt;=30),1,0)*VLOOKUP(D2155,'报价表-配送'!$B$61:$I$65,8,0)+IF(AND(MOD(H2155,30)&gt;8,MOD(H2155,30)&lt;=18),1*VLOOKUP(D2155,'报价表-配送'!$B$61:$I$65,7,0),0)+IF(AND(MOD(H2155,30)&lt;=8,MOD(H2155,30)&gt;2.5),1,0)*VLOOKUP(D2155,'报价表-配送'!$B$61:$I$65,6,0)+IF(AND(MOD(H2155,30)&lt;=2.5,MOD(H2155,30)&gt;=1.5),1,0)*VLOOKUP(D2155,'报价表-配送'!$B$61:$I$65,5,0)</f>
        <v>0</v>
      </c>
      <c r="M2155" s="39">
        <f>IF(AND(MOD(H2155,30)&lt;1.5,MOD(H2155,30)&gt;=0.5),H2155,0)*VLOOKUP(D2155,'报价表-配送'!$B$61:$I$65,4,0)*1000+IF(AND(MOD(H2155,30)&lt;0.5,MOD(H2155,30)&gt;=0.02),H2155,0)*VLOOKUP(D2155,'报价表-配送'!$B$61:$I$65,3,0)*1000+IF(AND(MOD(H2155,30)&lt;0.02),H2155,0)*VLOOKUP(D2155,'报价表-配送'!$B$61:$I$65,2,0)*1000</f>
        <v>0</v>
      </c>
      <c r="N2155" s="38">
        <f t="shared" si="32"/>
        <v>0</v>
      </c>
    </row>
    <row r="2156" spans="1:14" x14ac:dyDescent="0.25">
      <c r="A2156" s="37" t="s">
        <v>241</v>
      </c>
      <c r="B2156" s="43" t="s">
        <v>174</v>
      </c>
      <c r="C2156" s="62">
        <f>VLOOKUP(B2156,合并仓明细!$D$2:$F$74,3,0)</f>
        <v>49</v>
      </c>
      <c r="D2156" t="s">
        <v>393</v>
      </c>
      <c r="E2156" s="54" t="s">
        <v>326</v>
      </c>
      <c r="F2156" s="53" t="s">
        <v>67</v>
      </c>
      <c r="G2156">
        <v>1898.3</v>
      </c>
      <c r="H2156">
        <v>2.2035699999999996</v>
      </c>
      <c r="I2156" s="38">
        <f>IF(H2156&gt;30,QUOTIENT(H2156,30)*VLOOKUP(D2156,'报价表-配送'!$B$61:$I$65,8,0),0)+IF(AND(MOD(H2156,30)&gt;18,MOD(H2156,30)&lt;=30),1,0)*VLOOKUP(D2156,'报价表-配送'!$B$61:$I$65,8,0)</f>
        <v>0</v>
      </c>
      <c r="J2156" s="38">
        <f>IF(AND(MOD(H2156,30)&gt;8,MOD(H2156,30)&lt;=18),1*VLOOKUP(D2156,'报价表-配送'!$B$61:$I$65,7,0),0)</f>
        <v>0</v>
      </c>
      <c r="K2156" s="38">
        <f>IF(AND(MOD(H2156,30)&lt;=8,MOD(H2156,30)&gt;0),1,0)*VLOOKUP(D2156,'报价表-配送'!$B$61:$I$65,6,0)</f>
        <v>0</v>
      </c>
      <c r="L2156" s="37"/>
      <c r="M2156" s="39"/>
      <c r="N2156" s="38">
        <f t="shared" ref="N2156:N2219" si="33">SUM(I2156:M2156)</f>
        <v>0</v>
      </c>
    </row>
    <row r="2157" spans="1:14" x14ac:dyDescent="0.25">
      <c r="A2157" s="37" t="s">
        <v>241</v>
      </c>
      <c r="B2157" s="43" t="s">
        <v>174</v>
      </c>
      <c r="C2157" s="62">
        <f>VLOOKUP(B2157,合并仓明细!$D$2:$F$74,3,0)</f>
        <v>49</v>
      </c>
      <c r="D2157" t="s">
        <v>393</v>
      </c>
      <c r="E2157" s="54" t="s">
        <v>326</v>
      </c>
      <c r="F2157" s="53" t="s">
        <v>66</v>
      </c>
      <c r="G2157">
        <v>305.27</v>
      </c>
      <c r="H2157"/>
      <c r="N2157" s="38">
        <f t="shared" si="33"/>
        <v>0</v>
      </c>
    </row>
    <row r="2158" spans="1:14" x14ac:dyDescent="0.25">
      <c r="A2158" s="37" t="s">
        <v>241</v>
      </c>
      <c r="B2158" s="43" t="s">
        <v>174</v>
      </c>
      <c r="C2158" s="62">
        <f>VLOOKUP(B2158,合并仓明细!$D$2:$F$74,3,0)</f>
        <v>49</v>
      </c>
      <c r="D2158" t="s">
        <v>393</v>
      </c>
      <c r="E2158" s="54" t="s">
        <v>298</v>
      </c>
      <c r="F2158" s="53" t="s">
        <v>68</v>
      </c>
      <c r="G2158">
        <v>500.21999999999997</v>
      </c>
      <c r="H2158">
        <v>5.0705799999999996</v>
      </c>
      <c r="I2158" s="46">
        <f>ROUNDUP(H2158/30,0)*VLOOKUP(D2158,'报价表-配送'!$B$61:$I$65,8,0)</f>
        <v>0</v>
      </c>
      <c r="N2158" s="38">
        <f t="shared" si="33"/>
        <v>0</v>
      </c>
    </row>
    <row r="2159" spans="1:14" x14ac:dyDescent="0.25">
      <c r="A2159" s="37" t="s">
        <v>241</v>
      </c>
      <c r="B2159" s="43" t="s">
        <v>174</v>
      </c>
      <c r="C2159" s="62">
        <f>VLOOKUP(B2159,合并仓明细!$D$2:$F$74,3,0)</f>
        <v>49</v>
      </c>
      <c r="D2159" t="s">
        <v>393</v>
      </c>
      <c r="E2159" s="54" t="s">
        <v>298</v>
      </c>
      <c r="F2159" s="53" t="s">
        <v>67</v>
      </c>
      <c r="G2159">
        <v>4143.2199999999993</v>
      </c>
      <c r="H2159"/>
      <c r="I2159" s="38"/>
      <c r="J2159" s="38"/>
      <c r="K2159" s="38"/>
      <c r="L2159" s="37"/>
      <c r="M2159" s="37"/>
      <c r="N2159" s="38">
        <f t="shared" si="33"/>
        <v>0</v>
      </c>
    </row>
    <row r="2160" spans="1:14" x14ac:dyDescent="0.25">
      <c r="A2160" s="37" t="s">
        <v>241</v>
      </c>
      <c r="B2160" s="43" t="s">
        <v>174</v>
      </c>
      <c r="C2160" s="62">
        <f>VLOOKUP(B2160,合并仓明细!$D$2:$F$74,3,0)</f>
        <v>49</v>
      </c>
      <c r="D2160" t="s">
        <v>393</v>
      </c>
      <c r="E2160" s="54" t="s">
        <v>298</v>
      </c>
      <c r="F2160" s="53" t="s">
        <v>66</v>
      </c>
      <c r="G2160">
        <v>427.14</v>
      </c>
      <c r="H2160"/>
      <c r="N2160" s="38">
        <f t="shared" si="33"/>
        <v>0</v>
      </c>
    </row>
    <row r="2161" spans="1:14" x14ac:dyDescent="0.25">
      <c r="A2161" s="37" t="s">
        <v>241</v>
      </c>
      <c r="B2161" s="43" t="s">
        <v>174</v>
      </c>
      <c r="C2161" s="62">
        <f>VLOOKUP(B2161,合并仓明细!$D$2:$F$74,3,0)</f>
        <v>49</v>
      </c>
      <c r="D2161" t="s">
        <v>393</v>
      </c>
      <c r="E2161" s="54" t="s">
        <v>350</v>
      </c>
      <c r="F2161" s="53" t="s">
        <v>67</v>
      </c>
      <c r="G2161">
        <v>26.73</v>
      </c>
      <c r="H2161">
        <v>3.1440000000000003E-2</v>
      </c>
      <c r="I2161" s="38">
        <f>IF(H2161&gt;30,QUOTIENT(H2161,30)*VLOOKUP(D2161,'报价表-配送'!$B$61:$I$65,8,0),0)+IF(AND(MOD(H2161,30)&gt;18,MOD(H2161,30)&lt;=30),1,0)*VLOOKUP(D2161,'报价表-配送'!$B$61:$I$65,8,0)</f>
        <v>0</v>
      </c>
      <c r="J2161" s="38">
        <f>IF(AND(MOD(H2161,30)&gt;8,MOD(H2161,30)&lt;=18),1*VLOOKUP(D2161,'报价表-配送'!$B$61:$I$65,7,0),0)</f>
        <v>0</v>
      </c>
      <c r="K2161" s="38">
        <f>IF(AND(MOD(H2161,30)&lt;=8,MOD(H2161,30)&gt;0),1,0)*VLOOKUP(D2161,'报价表-配送'!$B$61:$I$65,6,0)</f>
        <v>0</v>
      </c>
      <c r="L2161" s="37"/>
      <c r="M2161" s="39"/>
      <c r="N2161" s="38">
        <f t="shared" si="33"/>
        <v>0</v>
      </c>
    </row>
    <row r="2162" spans="1:14" x14ac:dyDescent="0.25">
      <c r="A2162" s="37" t="s">
        <v>241</v>
      </c>
      <c r="B2162" s="43" t="s">
        <v>174</v>
      </c>
      <c r="C2162" s="62">
        <f>VLOOKUP(B2162,合并仓明细!$D$2:$F$74,3,0)</f>
        <v>49</v>
      </c>
      <c r="D2162" t="s">
        <v>393</v>
      </c>
      <c r="E2162" s="54" t="s">
        <v>350</v>
      </c>
      <c r="F2162" s="53" t="s">
        <v>66</v>
      </c>
      <c r="G2162">
        <v>4.71</v>
      </c>
      <c r="H2162"/>
      <c r="N2162" s="38">
        <f t="shared" si="33"/>
        <v>0</v>
      </c>
    </row>
    <row r="2163" spans="1:14" x14ac:dyDescent="0.25">
      <c r="A2163" s="37" t="s">
        <v>241</v>
      </c>
      <c r="B2163" s="43" t="s">
        <v>174</v>
      </c>
      <c r="C2163" s="62">
        <f>VLOOKUP(B2163,合并仓明细!$D$2:$F$74,3,0)</f>
        <v>49</v>
      </c>
      <c r="D2163" t="s">
        <v>393</v>
      </c>
      <c r="E2163" s="54" t="s">
        <v>299</v>
      </c>
      <c r="F2163" s="53" t="s">
        <v>68</v>
      </c>
      <c r="G2163">
        <v>1889.72</v>
      </c>
      <c r="H2163">
        <v>7.6173500000000001</v>
      </c>
      <c r="I2163" s="46">
        <f>ROUNDUP(H2163/30,0)*VLOOKUP(D2163,'报价表-配送'!$B$61:$I$65,8,0)</f>
        <v>0</v>
      </c>
      <c r="N2163" s="38">
        <f t="shared" si="33"/>
        <v>0</v>
      </c>
    </row>
    <row r="2164" spans="1:14" x14ac:dyDescent="0.25">
      <c r="A2164" s="37" t="s">
        <v>241</v>
      </c>
      <c r="B2164" s="43" t="s">
        <v>174</v>
      </c>
      <c r="C2164" s="62">
        <f>VLOOKUP(B2164,合并仓明细!$D$2:$F$74,3,0)</f>
        <v>49</v>
      </c>
      <c r="D2164" t="s">
        <v>393</v>
      </c>
      <c r="E2164" s="54" t="s">
        <v>299</v>
      </c>
      <c r="F2164" s="53" t="s">
        <v>67</v>
      </c>
      <c r="G2164">
        <v>4290.68</v>
      </c>
      <c r="H2164"/>
      <c r="I2164" s="46"/>
      <c r="J2164" s="38"/>
      <c r="K2164" s="38"/>
      <c r="L2164" s="37"/>
      <c r="M2164" s="39"/>
      <c r="N2164" s="38">
        <f t="shared" si="33"/>
        <v>0</v>
      </c>
    </row>
    <row r="2165" spans="1:14" x14ac:dyDescent="0.25">
      <c r="A2165" s="37" t="s">
        <v>241</v>
      </c>
      <c r="B2165" s="43" t="s">
        <v>174</v>
      </c>
      <c r="C2165" s="62">
        <f>VLOOKUP(B2165,合并仓明细!$D$2:$F$74,3,0)</f>
        <v>49</v>
      </c>
      <c r="D2165" t="s">
        <v>393</v>
      </c>
      <c r="E2165" s="54" t="s">
        <v>299</v>
      </c>
      <c r="F2165" s="53" t="s">
        <v>66</v>
      </c>
      <c r="G2165">
        <v>1436.95</v>
      </c>
      <c r="H2165"/>
      <c r="N2165" s="38">
        <f t="shared" si="33"/>
        <v>0</v>
      </c>
    </row>
    <row r="2166" spans="1:14" x14ac:dyDescent="0.25">
      <c r="A2166" s="37" t="s">
        <v>241</v>
      </c>
      <c r="B2166" s="43" t="s">
        <v>174</v>
      </c>
      <c r="C2166" s="62">
        <f>VLOOKUP(B2166,合并仓明细!$D$2:$F$74,3,0)</f>
        <v>49</v>
      </c>
      <c r="D2166" t="s">
        <v>393</v>
      </c>
      <c r="E2166" s="54" t="s">
        <v>327</v>
      </c>
      <c r="F2166" s="53" t="s">
        <v>68</v>
      </c>
      <c r="G2166">
        <v>1790.6499999999999</v>
      </c>
      <c r="H2166">
        <v>7.6512699999999993</v>
      </c>
      <c r="I2166" s="46">
        <f>ROUNDUP(H2166/30,0)*VLOOKUP(D2166,'报价表-配送'!$B$61:$I$65,8,0)</f>
        <v>0</v>
      </c>
      <c r="J2166" s="38"/>
      <c r="K2166" s="38"/>
      <c r="L2166" s="37"/>
      <c r="M2166" s="37"/>
      <c r="N2166" s="38">
        <f t="shared" si="33"/>
        <v>0</v>
      </c>
    </row>
    <row r="2167" spans="1:14" x14ac:dyDescent="0.25">
      <c r="A2167" s="37" t="s">
        <v>241</v>
      </c>
      <c r="B2167" s="43" t="s">
        <v>174</v>
      </c>
      <c r="C2167" s="62">
        <f>VLOOKUP(B2167,合并仓明细!$D$2:$F$74,3,0)</f>
        <v>49</v>
      </c>
      <c r="D2167" t="s">
        <v>393</v>
      </c>
      <c r="E2167" s="54" t="s">
        <v>327</v>
      </c>
      <c r="F2167" s="53" t="s">
        <v>67</v>
      </c>
      <c r="G2167">
        <v>5770.49</v>
      </c>
      <c r="H2167"/>
      <c r="N2167" s="38">
        <f t="shared" si="33"/>
        <v>0</v>
      </c>
    </row>
    <row r="2168" spans="1:14" x14ac:dyDescent="0.25">
      <c r="A2168" s="37" t="s">
        <v>241</v>
      </c>
      <c r="B2168" s="43" t="s">
        <v>174</v>
      </c>
      <c r="C2168" s="62">
        <f>VLOOKUP(B2168,合并仓明细!$D$2:$F$74,3,0)</f>
        <v>49</v>
      </c>
      <c r="D2168" t="s">
        <v>393</v>
      </c>
      <c r="E2168" s="54" t="s">
        <v>327</v>
      </c>
      <c r="F2168" s="53" t="s">
        <v>66</v>
      </c>
      <c r="G2168">
        <v>90.13</v>
      </c>
      <c r="H2168"/>
      <c r="L2168" s="37"/>
      <c r="M2168" s="39"/>
      <c r="N2168" s="38">
        <f t="shared" si="33"/>
        <v>0</v>
      </c>
    </row>
    <row r="2169" spans="1:14" x14ac:dyDescent="0.25">
      <c r="A2169" s="37" t="s">
        <v>241</v>
      </c>
      <c r="B2169" s="43" t="s">
        <v>174</v>
      </c>
      <c r="C2169" s="62">
        <f>VLOOKUP(B2169,合并仓明细!$D$2:$F$74,3,0)</f>
        <v>49</v>
      </c>
      <c r="D2169" t="s">
        <v>393</v>
      </c>
      <c r="E2169" s="54" t="s">
        <v>319</v>
      </c>
      <c r="F2169" s="53" t="s">
        <v>66</v>
      </c>
      <c r="G2169">
        <v>37.229999999999997</v>
      </c>
      <c r="H2169">
        <v>3.7229999999999999E-2</v>
      </c>
      <c r="I2169" s="38"/>
      <c r="J2169" s="38"/>
      <c r="K2169" s="38"/>
      <c r="L2169" s="37">
        <f>IF(H2169&gt;30,QUOTIENT(H2169,30)*VLOOKUP(D2169,'报价表-配送'!$B$61:$I$65,8,0),0)+IF(AND(MOD(H2169,30)&gt;18,MOD(H2169,30)&lt;=30),1,0)*VLOOKUP(D2169,'报价表-配送'!$B$61:$I$65,8,0)+IF(AND(MOD(H2169,30)&gt;8,MOD(H2169,30)&lt;=18),1*VLOOKUP(D2169,'报价表-配送'!$B$61:$I$65,7,0),0)+IF(AND(MOD(H2169,30)&lt;=8,MOD(H2169,30)&gt;2.5),1,0)*VLOOKUP(D2169,'报价表-配送'!$B$61:$I$65,6,0)+IF(AND(MOD(H2169,30)&lt;=2.5,MOD(H2169,30)&gt;=1.5),1,0)*VLOOKUP(D2169,'报价表-配送'!$B$61:$I$65,5,0)</f>
        <v>0</v>
      </c>
      <c r="M2169" s="39">
        <f>IF(AND(MOD(H2169,30)&lt;1.5,MOD(H2169,30)&gt;=0.5),H2169,0)*VLOOKUP(D2169,'报价表-配送'!$B$61:$I$65,4,0)*1000+IF(AND(MOD(H2169,30)&lt;0.5,MOD(H2169,30)&gt;=0.02),H2169,0)*VLOOKUP(D2169,'报价表-配送'!$B$61:$I$65,3,0)*1000+IF(AND(MOD(H2169,30)&lt;0.02),H2169,0)*VLOOKUP(D2169,'报价表-配送'!$B$61:$I$65,2,0)*1000</f>
        <v>0</v>
      </c>
      <c r="N2169" s="38">
        <f t="shared" si="33"/>
        <v>0</v>
      </c>
    </row>
    <row r="2170" spans="1:14" x14ac:dyDescent="0.25">
      <c r="A2170" s="37" t="s">
        <v>241</v>
      </c>
      <c r="B2170" s="43" t="s">
        <v>174</v>
      </c>
      <c r="C2170" s="62">
        <f>VLOOKUP(B2170,合并仓明细!$D$2:$F$74,3,0)</f>
        <v>49</v>
      </c>
      <c r="D2170" t="s">
        <v>393</v>
      </c>
      <c r="E2170" s="54" t="s">
        <v>300</v>
      </c>
      <c r="F2170" s="53" t="s">
        <v>67</v>
      </c>
      <c r="G2170">
        <v>46.35</v>
      </c>
      <c r="H2170">
        <v>6.9150000000000003E-2</v>
      </c>
      <c r="I2170" s="38">
        <f>IF(H2170&gt;30,QUOTIENT(H2170,30)*VLOOKUP(D2170,'报价表-配送'!$B$61:$I$65,8,0),0)+IF(AND(MOD(H2170,30)&gt;18,MOD(H2170,30)&lt;=30),1,0)*VLOOKUP(D2170,'报价表-配送'!$B$61:$I$65,8,0)</f>
        <v>0</v>
      </c>
      <c r="J2170" s="38">
        <f>IF(AND(MOD(H2170,30)&gt;8,MOD(H2170,30)&lt;=18),1*VLOOKUP(D2170,'报价表-配送'!$B$61:$I$65,7,0),0)</f>
        <v>0</v>
      </c>
      <c r="K2170" s="38">
        <f>IF(AND(MOD(H2170,30)&lt;=8,MOD(H2170,30)&gt;0),1,0)*VLOOKUP(D2170,'报价表-配送'!$B$61:$I$65,6,0)</f>
        <v>0</v>
      </c>
      <c r="L2170" s="37"/>
      <c r="M2170" s="39"/>
      <c r="N2170" s="38">
        <f t="shared" si="33"/>
        <v>0</v>
      </c>
    </row>
    <row r="2171" spans="1:14" x14ac:dyDescent="0.25">
      <c r="A2171" s="37" t="s">
        <v>241</v>
      </c>
      <c r="B2171" s="43" t="s">
        <v>174</v>
      </c>
      <c r="C2171" s="62">
        <f>VLOOKUP(B2171,合并仓明细!$D$2:$F$74,3,0)</f>
        <v>49</v>
      </c>
      <c r="D2171" t="s">
        <v>393</v>
      </c>
      <c r="E2171" s="54" t="s">
        <v>300</v>
      </c>
      <c r="F2171" s="53" t="s">
        <v>66</v>
      </c>
      <c r="G2171">
        <v>22.799999999999997</v>
      </c>
      <c r="H2171"/>
      <c r="I2171" s="38"/>
      <c r="J2171" s="38"/>
      <c r="K2171" s="38"/>
      <c r="L2171" s="37"/>
      <c r="M2171" s="37"/>
      <c r="N2171" s="38">
        <f t="shared" si="33"/>
        <v>0</v>
      </c>
    </row>
    <row r="2172" spans="1:14" x14ac:dyDescent="0.25">
      <c r="A2172" s="37" t="s">
        <v>241</v>
      </c>
      <c r="B2172" s="43" t="s">
        <v>174</v>
      </c>
      <c r="C2172" s="62">
        <f>VLOOKUP(B2172,合并仓明细!$D$2:$F$74,3,0)</f>
        <v>49</v>
      </c>
      <c r="D2172" t="s">
        <v>393</v>
      </c>
      <c r="E2172" s="54" t="s">
        <v>355</v>
      </c>
      <c r="F2172" s="53" t="s">
        <v>68</v>
      </c>
      <c r="G2172">
        <v>25.61</v>
      </c>
      <c r="H2172">
        <v>3.87696</v>
      </c>
      <c r="I2172" s="46">
        <f>ROUNDUP(H2172/30,0)*VLOOKUP(D2172,'报价表-配送'!$B$61:$I$65,8,0)</f>
        <v>0</v>
      </c>
      <c r="N2172" s="38">
        <f t="shared" si="33"/>
        <v>0</v>
      </c>
    </row>
    <row r="2173" spans="1:14" x14ac:dyDescent="0.25">
      <c r="A2173" s="37" t="s">
        <v>241</v>
      </c>
      <c r="B2173" s="43" t="s">
        <v>174</v>
      </c>
      <c r="C2173" s="62">
        <f>VLOOKUP(B2173,合并仓明细!$D$2:$F$74,3,0)</f>
        <v>49</v>
      </c>
      <c r="D2173" t="s">
        <v>393</v>
      </c>
      <c r="E2173" s="54" t="s">
        <v>355</v>
      </c>
      <c r="F2173" s="53" t="s">
        <v>67</v>
      </c>
      <c r="G2173">
        <v>3410.96</v>
      </c>
      <c r="H2173"/>
      <c r="N2173" s="38">
        <f t="shared" si="33"/>
        <v>0</v>
      </c>
    </row>
    <row r="2174" spans="1:14" x14ac:dyDescent="0.25">
      <c r="A2174" s="37" t="s">
        <v>241</v>
      </c>
      <c r="B2174" s="43" t="s">
        <v>174</v>
      </c>
      <c r="C2174" s="62">
        <f>VLOOKUP(B2174,合并仓明细!$D$2:$F$74,3,0)</f>
        <v>49</v>
      </c>
      <c r="D2174" t="s">
        <v>393</v>
      </c>
      <c r="E2174" s="54" t="s">
        <v>355</v>
      </c>
      <c r="F2174" s="53" t="s">
        <v>66</v>
      </c>
      <c r="G2174">
        <v>440.39</v>
      </c>
      <c r="H2174"/>
      <c r="L2174" s="37"/>
      <c r="M2174" s="39"/>
      <c r="N2174" s="38">
        <f t="shared" si="33"/>
        <v>0</v>
      </c>
    </row>
    <row r="2175" spans="1:14" x14ac:dyDescent="0.25">
      <c r="A2175" s="37" t="s">
        <v>241</v>
      </c>
      <c r="B2175" s="43" t="s">
        <v>174</v>
      </c>
      <c r="C2175" s="62">
        <f>VLOOKUP(B2175,合并仓明细!$D$2:$F$74,3,0)</f>
        <v>49</v>
      </c>
      <c r="D2175" t="s">
        <v>393</v>
      </c>
      <c r="E2175" s="54" t="s">
        <v>321</v>
      </c>
      <c r="F2175" s="53" t="s">
        <v>66</v>
      </c>
      <c r="G2175">
        <v>102.49</v>
      </c>
      <c r="H2175">
        <v>0.10249</v>
      </c>
      <c r="I2175" s="46"/>
      <c r="J2175" s="38"/>
      <c r="K2175" s="38"/>
      <c r="L2175" s="37">
        <f>IF(H2175&gt;30,QUOTIENT(H2175,30)*VLOOKUP(D2175,'报价表-配送'!$B$61:$I$65,8,0),0)+IF(AND(MOD(H2175,30)&gt;18,MOD(H2175,30)&lt;=30),1,0)*VLOOKUP(D2175,'报价表-配送'!$B$61:$I$65,8,0)+IF(AND(MOD(H2175,30)&gt;8,MOD(H2175,30)&lt;=18),1*VLOOKUP(D2175,'报价表-配送'!$B$61:$I$65,7,0),0)+IF(AND(MOD(H2175,30)&lt;=8,MOD(H2175,30)&gt;2.5),1,0)*VLOOKUP(D2175,'报价表-配送'!$B$61:$I$65,6,0)+IF(AND(MOD(H2175,30)&lt;=2.5,MOD(H2175,30)&gt;=1.5),1,0)*VLOOKUP(D2175,'报价表-配送'!$B$61:$I$65,5,0)</f>
        <v>0</v>
      </c>
      <c r="M2175" s="39">
        <f>IF(AND(MOD(H2175,30)&lt;1.5,MOD(H2175,30)&gt;=0.5),H2175,0)*VLOOKUP(D2175,'报价表-配送'!$B$61:$I$65,4,0)*1000+IF(AND(MOD(H2175,30)&lt;0.5,MOD(H2175,30)&gt;=0.02),H2175,0)*VLOOKUP(D2175,'报价表-配送'!$B$61:$I$65,3,0)*1000+IF(AND(MOD(H2175,30)&lt;0.02),H2175,0)*VLOOKUP(D2175,'报价表-配送'!$B$61:$I$65,2,0)*1000</f>
        <v>0</v>
      </c>
      <c r="N2175" s="38">
        <f t="shared" si="33"/>
        <v>0</v>
      </c>
    </row>
    <row r="2176" spans="1:14" x14ac:dyDescent="0.25">
      <c r="A2176" s="37" t="s">
        <v>241</v>
      </c>
      <c r="B2176" s="43" t="s">
        <v>174</v>
      </c>
      <c r="C2176" s="62">
        <f>VLOOKUP(B2176,合并仓明细!$D$2:$F$74,3,0)</f>
        <v>49</v>
      </c>
      <c r="D2176" t="s">
        <v>393</v>
      </c>
      <c r="E2176" s="54" t="s">
        <v>382</v>
      </c>
      <c r="F2176" s="53" t="s">
        <v>68</v>
      </c>
      <c r="G2176">
        <v>38.31</v>
      </c>
      <c r="H2176">
        <v>3.1169899999999999</v>
      </c>
      <c r="I2176" s="46">
        <f>ROUNDUP(H2176/30,0)*VLOOKUP(D2176,'报价表-配送'!$B$61:$I$65,8,0)</f>
        <v>0</v>
      </c>
      <c r="N2176" s="38">
        <f t="shared" si="33"/>
        <v>0</v>
      </c>
    </row>
    <row r="2177" spans="1:14" x14ac:dyDescent="0.25">
      <c r="A2177" s="37" t="s">
        <v>241</v>
      </c>
      <c r="B2177" s="43" t="s">
        <v>174</v>
      </c>
      <c r="C2177" s="62">
        <f>VLOOKUP(B2177,合并仓明细!$D$2:$F$74,3,0)</f>
        <v>49</v>
      </c>
      <c r="D2177" t="s">
        <v>393</v>
      </c>
      <c r="E2177" s="54" t="s">
        <v>382</v>
      </c>
      <c r="F2177" s="53" t="s">
        <v>67</v>
      </c>
      <c r="G2177">
        <v>2716.3999999999996</v>
      </c>
      <c r="H2177"/>
      <c r="N2177" s="38">
        <f t="shared" si="33"/>
        <v>0</v>
      </c>
    </row>
    <row r="2178" spans="1:14" x14ac:dyDescent="0.25">
      <c r="A2178" s="37" t="s">
        <v>241</v>
      </c>
      <c r="B2178" s="43" t="s">
        <v>174</v>
      </c>
      <c r="C2178" s="62">
        <f>VLOOKUP(B2178,合并仓明细!$D$2:$F$74,3,0)</f>
        <v>49</v>
      </c>
      <c r="D2178" t="s">
        <v>393</v>
      </c>
      <c r="E2178" s="54" t="s">
        <v>382</v>
      </c>
      <c r="F2178" s="53" t="s">
        <v>66</v>
      </c>
      <c r="G2178">
        <v>362.28</v>
      </c>
      <c r="H2178"/>
      <c r="L2178" s="37"/>
      <c r="M2178" s="39"/>
      <c r="N2178" s="38">
        <f t="shared" si="33"/>
        <v>0</v>
      </c>
    </row>
    <row r="2179" spans="1:14" x14ac:dyDescent="0.25">
      <c r="A2179" s="37" t="s">
        <v>241</v>
      </c>
      <c r="B2179" s="43" t="s">
        <v>174</v>
      </c>
      <c r="C2179" s="62">
        <f>VLOOKUP(B2179,合并仓明细!$D$2:$F$74,3,0)</f>
        <v>49</v>
      </c>
      <c r="D2179" t="s">
        <v>393</v>
      </c>
      <c r="E2179" s="54" t="s">
        <v>365</v>
      </c>
      <c r="F2179" s="53" t="s">
        <v>67</v>
      </c>
      <c r="G2179">
        <v>106.92</v>
      </c>
      <c r="H2179">
        <v>0.16872999999999999</v>
      </c>
      <c r="I2179" s="38">
        <f>IF(H2179&gt;30,QUOTIENT(H2179,30)*VLOOKUP(D2179,'报价表-配送'!$B$61:$I$65,8,0),0)+IF(AND(MOD(H2179,30)&gt;18,MOD(H2179,30)&lt;=30),1,0)*VLOOKUP(D2179,'报价表-配送'!$B$61:$I$65,8,0)</f>
        <v>0</v>
      </c>
      <c r="J2179" s="38">
        <f>IF(AND(MOD(H2179,30)&gt;8,MOD(H2179,30)&lt;=18),1*VLOOKUP(D2179,'报价表-配送'!$B$61:$I$65,7,0),0)</f>
        <v>0</v>
      </c>
      <c r="K2179" s="38">
        <f>IF(AND(MOD(H2179,30)&lt;=8,MOD(H2179,30)&gt;0),1,0)*VLOOKUP(D2179,'报价表-配送'!$B$61:$I$65,6,0)</f>
        <v>0</v>
      </c>
      <c r="N2179" s="38">
        <f t="shared" si="33"/>
        <v>0</v>
      </c>
    </row>
    <row r="2180" spans="1:14" x14ac:dyDescent="0.25">
      <c r="A2180" s="37" t="s">
        <v>241</v>
      </c>
      <c r="B2180" s="43" t="s">
        <v>174</v>
      </c>
      <c r="C2180" s="62">
        <f>VLOOKUP(B2180,合并仓明细!$D$2:$F$74,3,0)</f>
        <v>49</v>
      </c>
      <c r="D2180" t="s">
        <v>393</v>
      </c>
      <c r="E2180" s="54" t="s">
        <v>365</v>
      </c>
      <c r="F2180" s="53" t="s">
        <v>66</v>
      </c>
      <c r="G2180">
        <v>61.809999999999995</v>
      </c>
      <c r="H2180"/>
      <c r="N2180" s="38">
        <f t="shared" si="33"/>
        <v>0</v>
      </c>
    </row>
    <row r="2181" spans="1:14" x14ac:dyDescent="0.25">
      <c r="A2181" s="37" t="s">
        <v>241</v>
      </c>
      <c r="B2181" s="43" t="s">
        <v>174</v>
      </c>
      <c r="C2181" s="62">
        <f>VLOOKUP(B2181,合并仓明细!$D$2:$F$74,3,0)</f>
        <v>49</v>
      </c>
      <c r="D2181" t="s">
        <v>393</v>
      </c>
      <c r="E2181" s="54" t="s">
        <v>253</v>
      </c>
      <c r="F2181" s="53" t="s">
        <v>67</v>
      </c>
      <c r="G2181">
        <v>26.73</v>
      </c>
      <c r="H2181">
        <v>7.4310000000000001E-2</v>
      </c>
      <c r="I2181" s="38">
        <f>IF(H2181&gt;30,QUOTIENT(H2181,30)*VLOOKUP(D2181,'报价表-配送'!$B$61:$I$65,8,0),0)+IF(AND(MOD(H2181,30)&gt;18,MOD(H2181,30)&lt;=30),1,0)*VLOOKUP(D2181,'报价表-配送'!$B$61:$I$65,8,0)</f>
        <v>0</v>
      </c>
      <c r="J2181" s="38">
        <f>IF(AND(MOD(H2181,30)&gt;8,MOD(H2181,30)&lt;=18),1*VLOOKUP(D2181,'报价表-配送'!$B$61:$I$65,7,0),0)</f>
        <v>0</v>
      </c>
      <c r="K2181" s="38">
        <f>IF(AND(MOD(H2181,30)&lt;=8,MOD(H2181,30)&gt;0),1,0)*VLOOKUP(D2181,'报价表-配送'!$B$61:$I$65,6,0)</f>
        <v>0</v>
      </c>
      <c r="L2181" s="37"/>
      <c r="M2181" s="39"/>
      <c r="N2181" s="38">
        <f t="shared" si="33"/>
        <v>0</v>
      </c>
    </row>
    <row r="2182" spans="1:14" x14ac:dyDescent="0.25">
      <c r="A2182" s="37" t="s">
        <v>241</v>
      </c>
      <c r="B2182" s="43" t="s">
        <v>174</v>
      </c>
      <c r="C2182" s="62">
        <f>VLOOKUP(B2182,合并仓明细!$D$2:$F$74,3,0)</f>
        <v>49</v>
      </c>
      <c r="D2182" t="s">
        <v>393</v>
      </c>
      <c r="E2182" s="54" t="s">
        <v>253</v>
      </c>
      <c r="F2182" s="53" t="s">
        <v>66</v>
      </c>
      <c r="G2182">
        <v>47.580000000000005</v>
      </c>
      <c r="H2182"/>
      <c r="N2182" s="38">
        <f t="shared" si="33"/>
        <v>0</v>
      </c>
    </row>
    <row r="2183" spans="1:14" x14ac:dyDescent="0.25">
      <c r="A2183" s="37" t="s">
        <v>241</v>
      </c>
      <c r="B2183" s="43" t="s">
        <v>174</v>
      </c>
      <c r="C2183" s="62">
        <f>VLOOKUP(B2183,合并仓明细!$D$2:$F$74,3,0)</f>
        <v>49</v>
      </c>
      <c r="D2183" t="s">
        <v>393</v>
      </c>
      <c r="E2183" s="54" t="s">
        <v>356</v>
      </c>
      <c r="F2183" s="53" t="s">
        <v>66</v>
      </c>
      <c r="G2183">
        <v>5.52</v>
      </c>
      <c r="H2183">
        <v>5.5199999999999997E-3</v>
      </c>
      <c r="L2183" s="37">
        <f>IF(H2183&gt;30,QUOTIENT(H2183,30)*VLOOKUP(D2183,'报价表-配送'!$B$61:$I$65,8,0),0)+IF(AND(MOD(H2183,30)&gt;18,MOD(H2183,30)&lt;=30),1,0)*VLOOKUP(D2183,'报价表-配送'!$B$61:$I$65,8,0)+IF(AND(MOD(H2183,30)&gt;8,MOD(H2183,30)&lt;=18),1*VLOOKUP(D2183,'报价表-配送'!$B$61:$I$65,7,0),0)+IF(AND(MOD(H2183,30)&lt;=8,MOD(H2183,30)&gt;2.5),1,0)*VLOOKUP(D2183,'报价表-配送'!$B$61:$I$65,6,0)+IF(AND(MOD(H2183,30)&lt;=2.5,MOD(H2183,30)&gt;=1.5),1,0)*VLOOKUP(D2183,'报价表-配送'!$B$61:$I$65,5,0)</f>
        <v>0</v>
      </c>
      <c r="M2183" s="39">
        <f>IF(AND(MOD(H2183,30)&lt;1.5,MOD(H2183,30)&gt;=0.5),H2183,0)*VLOOKUP(D2183,'报价表-配送'!$B$61:$I$65,4,0)*1000+IF(AND(MOD(H2183,30)&lt;0.5,MOD(H2183,30)&gt;=0.02),H2183,0)*VLOOKUP(D2183,'报价表-配送'!$B$61:$I$65,3,0)*1000+IF(AND(MOD(H2183,30)&lt;0.02),H2183,0)*VLOOKUP(D2183,'报价表-配送'!$B$61:$I$65,2,0)*1000</f>
        <v>0</v>
      </c>
      <c r="N2183" s="38">
        <f t="shared" si="33"/>
        <v>0</v>
      </c>
    </row>
    <row r="2184" spans="1:14" x14ac:dyDescent="0.25">
      <c r="A2184" s="37" t="s">
        <v>241</v>
      </c>
      <c r="B2184" s="43" t="s">
        <v>174</v>
      </c>
      <c r="C2184" s="62">
        <f>VLOOKUP(B2184,合并仓明细!$D$2:$F$74,3,0)</f>
        <v>49</v>
      </c>
      <c r="D2184" t="s">
        <v>393</v>
      </c>
      <c r="E2184" s="54" t="s">
        <v>331</v>
      </c>
      <c r="F2184" s="53" t="s">
        <v>68</v>
      </c>
      <c r="G2184">
        <v>808.37</v>
      </c>
      <c r="H2184">
        <v>1.6798499999999998</v>
      </c>
      <c r="I2184" s="46">
        <f>ROUNDUP(H2184/30,0)*VLOOKUP(D2184,'报价表-配送'!$B$61:$I$65,8,0)</f>
        <v>0</v>
      </c>
      <c r="J2184" s="38"/>
      <c r="K2184" s="38"/>
      <c r="L2184" s="37"/>
      <c r="M2184" s="37"/>
      <c r="N2184" s="38">
        <f t="shared" si="33"/>
        <v>0</v>
      </c>
    </row>
    <row r="2185" spans="1:14" x14ac:dyDescent="0.25">
      <c r="A2185" s="37" t="s">
        <v>241</v>
      </c>
      <c r="B2185" s="43" t="s">
        <v>174</v>
      </c>
      <c r="C2185" s="62">
        <f>VLOOKUP(B2185,合并仓明细!$D$2:$F$74,3,0)</f>
        <v>49</v>
      </c>
      <c r="D2185" t="s">
        <v>393</v>
      </c>
      <c r="E2185" s="54" t="s">
        <v>331</v>
      </c>
      <c r="F2185" s="53" t="s">
        <v>66</v>
      </c>
      <c r="G2185">
        <v>871.4799999999999</v>
      </c>
      <c r="H2185"/>
      <c r="N2185" s="38">
        <f t="shared" si="33"/>
        <v>0</v>
      </c>
    </row>
    <row r="2186" spans="1:14" x14ac:dyDescent="0.25">
      <c r="A2186" s="37" t="s">
        <v>241</v>
      </c>
      <c r="B2186" s="43" t="s">
        <v>174</v>
      </c>
      <c r="C2186" s="62">
        <f>VLOOKUP(B2186,合并仓明细!$D$2:$F$74,3,0)</f>
        <v>49</v>
      </c>
      <c r="D2186" t="s">
        <v>393</v>
      </c>
      <c r="E2186" s="54" t="s">
        <v>328</v>
      </c>
      <c r="F2186" s="53" t="s">
        <v>68</v>
      </c>
      <c r="G2186">
        <v>1974.0799999999997</v>
      </c>
      <c r="H2186">
        <v>5.9353099999999994</v>
      </c>
      <c r="I2186" s="46">
        <f>ROUNDUP(H2186/30,0)*VLOOKUP(D2186,'报价表-配送'!$B$61:$I$65,8,0)</f>
        <v>0</v>
      </c>
      <c r="J2186" s="38"/>
      <c r="K2186" s="38"/>
      <c r="L2186" s="37"/>
      <c r="M2186" s="39"/>
      <c r="N2186" s="38">
        <f t="shared" si="33"/>
        <v>0</v>
      </c>
    </row>
    <row r="2187" spans="1:14" x14ac:dyDescent="0.25">
      <c r="A2187" s="37" t="s">
        <v>241</v>
      </c>
      <c r="B2187" s="43" t="s">
        <v>174</v>
      </c>
      <c r="C2187" s="62">
        <f>VLOOKUP(B2187,合并仓明细!$D$2:$F$74,3,0)</f>
        <v>49</v>
      </c>
      <c r="D2187" t="s">
        <v>393</v>
      </c>
      <c r="E2187" s="54" t="s">
        <v>328</v>
      </c>
      <c r="F2187" s="53" t="s">
        <v>67</v>
      </c>
      <c r="G2187">
        <v>2777.5000000000005</v>
      </c>
      <c r="H2187"/>
      <c r="N2187" s="38">
        <f t="shared" si="33"/>
        <v>0</v>
      </c>
    </row>
    <row r="2188" spans="1:14" x14ac:dyDescent="0.25">
      <c r="A2188" s="37" t="s">
        <v>241</v>
      </c>
      <c r="B2188" s="43" t="s">
        <v>174</v>
      </c>
      <c r="C2188" s="62">
        <f>VLOOKUP(B2188,合并仓明细!$D$2:$F$74,3,0)</f>
        <v>49</v>
      </c>
      <c r="D2188" t="s">
        <v>393</v>
      </c>
      <c r="E2188" s="54" t="s">
        <v>328</v>
      </c>
      <c r="F2188" s="53" t="s">
        <v>66</v>
      </c>
      <c r="G2188">
        <v>1183.73</v>
      </c>
      <c r="H2188"/>
      <c r="N2188" s="38">
        <f t="shared" si="33"/>
        <v>0</v>
      </c>
    </row>
    <row r="2189" spans="1:14" x14ac:dyDescent="0.25">
      <c r="A2189" s="37" t="s">
        <v>241</v>
      </c>
      <c r="B2189" s="43" t="s">
        <v>174</v>
      </c>
      <c r="C2189" s="62">
        <f>VLOOKUP(B2189,合并仓明细!$D$2:$F$74,3,0)</f>
        <v>49</v>
      </c>
      <c r="D2189" t="s">
        <v>393</v>
      </c>
      <c r="E2189" s="54" t="s">
        <v>254</v>
      </c>
      <c r="F2189" s="53" t="s">
        <v>66</v>
      </c>
      <c r="G2189">
        <v>14.1</v>
      </c>
      <c r="H2189">
        <v>1.41E-2</v>
      </c>
      <c r="I2189" s="46"/>
      <c r="J2189" s="38"/>
      <c r="K2189" s="38"/>
      <c r="L2189" s="37">
        <f>IF(H2189&gt;30,QUOTIENT(H2189,30)*VLOOKUP(D2189,'报价表-配送'!$B$61:$I$65,8,0),0)+IF(AND(MOD(H2189,30)&gt;18,MOD(H2189,30)&lt;=30),1,0)*VLOOKUP(D2189,'报价表-配送'!$B$61:$I$65,8,0)+IF(AND(MOD(H2189,30)&gt;8,MOD(H2189,30)&lt;=18),1*VLOOKUP(D2189,'报价表-配送'!$B$61:$I$65,7,0),0)+IF(AND(MOD(H2189,30)&lt;=8,MOD(H2189,30)&gt;2.5),1,0)*VLOOKUP(D2189,'报价表-配送'!$B$61:$I$65,6,0)+IF(AND(MOD(H2189,30)&lt;=2.5,MOD(H2189,30)&gt;=1.5),1,0)*VLOOKUP(D2189,'报价表-配送'!$B$61:$I$65,5,0)</f>
        <v>0</v>
      </c>
      <c r="M2189" s="39">
        <f>IF(AND(MOD(H2189,30)&lt;1.5,MOD(H2189,30)&gt;=0.5),H2189,0)*VLOOKUP(D2189,'报价表-配送'!$B$61:$I$65,4,0)*1000+IF(AND(MOD(H2189,30)&lt;0.5,MOD(H2189,30)&gt;=0.02),H2189,0)*VLOOKUP(D2189,'报价表-配送'!$B$61:$I$65,3,0)*1000+IF(AND(MOD(H2189,30)&lt;0.02),H2189,0)*VLOOKUP(D2189,'报价表-配送'!$B$61:$I$65,2,0)*1000</f>
        <v>0</v>
      </c>
      <c r="N2189" s="38">
        <f t="shared" si="33"/>
        <v>0</v>
      </c>
    </row>
    <row r="2190" spans="1:14" x14ac:dyDescent="0.25">
      <c r="A2190" s="37" t="s">
        <v>241</v>
      </c>
      <c r="B2190" s="43" t="s">
        <v>175</v>
      </c>
      <c r="C2190" s="62">
        <f>VLOOKUP(B2190,合并仓明细!$D$2:$F$74,3,0)</f>
        <v>68</v>
      </c>
      <c r="D2190" t="s">
        <v>393</v>
      </c>
      <c r="E2190" s="54" t="s">
        <v>260</v>
      </c>
      <c r="F2190" s="53" t="s">
        <v>66</v>
      </c>
      <c r="G2190">
        <v>66.239999999999995</v>
      </c>
      <c r="H2190">
        <v>6.6239999999999993E-2</v>
      </c>
      <c r="L2190" s="37">
        <f>IF(H2190&gt;30,QUOTIENT(H2190,30)*VLOOKUP(D2190,'报价表-配送'!$B$61:$I$65,8,0),0)+IF(AND(MOD(H2190,30)&gt;18,MOD(H2190,30)&lt;=30),1,0)*VLOOKUP(D2190,'报价表-配送'!$B$61:$I$65,8,0)+IF(AND(MOD(H2190,30)&gt;8,MOD(H2190,30)&lt;=18),1*VLOOKUP(D2190,'报价表-配送'!$B$61:$I$65,7,0),0)+IF(AND(MOD(H2190,30)&lt;=8,MOD(H2190,30)&gt;2.5),1,0)*VLOOKUP(D2190,'报价表-配送'!$B$61:$I$65,6,0)+IF(AND(MOD(H2190,30)&lt;=2.5,MOD(H2190,30)&gt;=1.5),1,0)*VLOOKUP(D2190,'报价表-配送'!$B$61:$I$65,5,0)</f>
        <v>0</v>
      </c>
      <c r="M2190" s="39">
        <f>IF(AND(MOD(H2190,30)&lt;1.5,MOD(H2190,30)&gt;=0.5),H2190,0)*VLOOKUP(D2190,'报价表-配送'!$B$61:$I$65,4,0)*1000+IF(AND(MOD(H2190,30)&lt;0.5,MOD(H2190,30)&gt;=0.02),H2190,0)*VLOOKUP(D2190,'报价表-配送'!$B$61:$I$65,3,0)*1000+IF(AND(MOD(H2190,30)&lt;0.02),H2190,0)*VLOOKUP(D2190,'报价表-配送'!$B$61:$I$65,2,0)*1000</f>
        <v>0</v>
      </c>
      <c r="N2190" s="38">
        <f t="shared" si="33"/>
        <v>0</v>
      </c>
    </row>
    <row r="2191" spans="1:14" x14ac:dyDescent="0.25">
      <c r="A2191" s="37" t="s">
        <v>241</v>
      </c>
      <c r="B2191" s="43" t="s">
        <v>175</v>
      </c>
      <c r="C2191" s="62">
        <f>VLOOKUP(B2191,合并仓明细!$D$2:$F$74,3,0)</f>
        <v>68</v>
      </c>
      <c r="D2191" t="s">
        <v>393</v>
      </c>
      <c r="E2191" s="54" t="s">
        <v>256</v>
      </c>
      <c r="F2191" s="53" t="s">
        <v>66</v>
      </c>
      <c r="G2191">
        <v>73.050000000000011</v>
      </c>
      <c r="H2191">
        <v>7.3050000000000018E-2</v>
      </c>
      <c r="I2191" s="46"/>
      <c r="J2191" s="38"/>
      <c r="K2191" s="38"/>
      <c r="L2191" s="37">
        <f>IF(H2191&gt;30,QUOTIENT(H2191,30)*VLOOKUP(D2191,'报价表-配送'!$B$61:$I$65,8,0),0)+IF(AND(MOD(H2191,30)&gt;18,MOD(H2191,30)&lt;=30),1,0)*VLOOKUP(D2191,'报价表-配送'!$B$61:$I$65,8,0)+IF(AND(MOD(H2191,30)&gt;8,MOD(H2191,30)&lt;=18),1*VLOOKUP(D2191,'报价表-配送'!$B$61:$I$65,7,0),0)+IF(AND(MOD(H2191,30)&lt;=8,MOD(H2191,30)&gt;2.5),1,0)*VLOOKUP(D2191,'报价表-配送'!$B$61:$I$65,6,0)+IF(AND(MOD(H2191,30)&lt;=2.5,MOD(H2191,30)&gt;=1.5),1,0)*VLOOKUP(D2191,'报价表-配送'!$B$61:$I$65,5,0)</f>
        <v>0</v>
      </c>
      <c r="M2191" s="39">
        <f>IF(AND(MOD(H2191,30)&lt;1.5,MOD(H2191,30)&gt;=0.5),H2191,0)*VLOOKUP(D2191,'报价表-配送'!$B$61:$I$65,4,0)*1000+IF(AND(MOD(H2191,30)&lt;0.5,MOD(H2191,30)&gt;=0.02),H2191,0)*VLOOKUP(D2191,'报价表-配送'!$B$61:$I$65,3,0)*1000+IF(AND(MOD(H2191,30)&lt;0.02),H2191,0)*VLOOKUP(D2191,'报价表-配送'!$B$61:$I$65,2,0)*1000</f>
        <v>0</v>
      </c>
      <c r="N2191" s="38">
        <f t="shared" si="33"/>
        <v>0</v>
      </c>
    </row>
    <row r="2192" spans="1:14" x14ac:dyDescent="0.25">
      <c r="A2192" s="37" t="s">
        <v>241</v>
      </c>
      <c r="B2192" s="43" t="s">
        <v>175</v>
      </c>
      <c r="C2192" s="62">
        <f>VLOOKUP(B2192,合并仓明细!$D$2:$F$74,3,0)</f>
        <v>68</v>
      </c>
      <c r="D2192" t="s">
        <v>393</v>
      </c>
      <c r="E2192" s="54" t="s">
        <v>261</v>
      </c>
      <c r="F2192" s="53" t="s">
        <v>68</v>
      </c>
      <c r="G2192">
        <v>2058.8599999999997</v>
      </c>
      <c r="H2192">
        <v>2.4102599999999996</v>
      </c>
      <c r="I2192" s="46">
        <f>ROUNDUP(H2192/30,0)*VLOOKUP(D2192,'报价表-配送'!$B$61:$I$65,8,0)</f>
        <v>0</v>
      </c>
      <c r="N2192" s="38">
        <f t="shared" si="33"/>
        <v>0</v>
      </c>
    </row>
    <row r="2193" spans="1:14" x14ac:dyDescent="0.25">
      <c r="A2193" s="37" t="s">
        <v>241</v>
      </c>
      <c r="B2193" s="43" t="s">
        <v>175</v>
      </c>
      <c r="C2193" s="62">
        <f>VLOOKUP(B2193,合并仓明细!$D$2:$F$74,3,0)</f>
        <v>68</v>
      </c>
      <c r="D2193" t="s">
        <v>393</v>
      </c>
      <c r="E2193" s="54" t="s">
        <v>261</v>
      </c>
      <c r="F2193" s="53" t="s">
        <v>67</v>
      </c>
      <c r="G2193">
        <v>291.60000000000002</v>
      </c>
      <c r="H2193"/>
      <c r="N2193" s="38">
        <f t="shared" si="33"/>
        <v>0</v>
      </c>
    </row>
    <row r="2194" spans="1:14" x14ac:dyDescent="0.25">
      <c r="A2194" s="37" t="s">
        <v>241</v>
      </c>
      <c r="B2194" s="43" t="s">
        <v>175</v>
      </c>
      <c r="C2194" s="62">
        <f>VLOOKUP(B2194,合并仓明细!$D$2:$F$74,3,0)</f>
        <v>68</v>
      </c>
      <c r="D2194" t="s">
        <v>393</v>
      </c>
      <c r="E2194" s="54" t="s">
        <v>261</v>
      </c>
      <c r="F2194" s="53" t="s">
        <v>66</v>
      </c>
      <c r="G2194">
        <v>59.8</v>
      </c>
      <c r="H2194"/>
      <c r="I2194" s="46"/>
      <c r="J2194" s="38"/>
      <c r="K2194" s="38"/>
      <c r="L2194" s="37"/>
      <c r="M2194" s="39"/>
      <c r="N2194" s="38">
        <f t="shared" si="33"/>
        <v>0</v>
      </c>
    </row>
    <row r="2195" spans="1:14" x14ac:dyDescent="0.25">
      <c r="A2195" s="37" t="s">
        <v>241</v>
      </c>
      <c r="B2195" s="43" t="s">
        <v>175</v>
      </c>
      <c r="C2195" s="62">
        <f>VLOOKUP(B2195,合并仓明细!$D$2:$F$74,3,0)</f>
        <v>68</v>
      </c>
      <c r="D2195" t="s">
        <v>393</v>
      </c>
      <c r="E2195" s="54" t="s">
        <v>262</v>
      </c>
      <c r="F2195" s="53" t="s">
        <v>66</v>
      </c>
      <c r="G2195">
        <v>221.90999999999997</v>
      </c>
      <c r="H2195">
        <v>0.22190999999999997</v>
      </c>
      <c r="I2195" s="46"/>
      <c r="J2195" s="38"/>
      <c r="K2195" s="38"/>
      <c r="L2195" s="37">
        <f>IF(H2195&gt;30,QUOTIENT(H2195,30)*VLOOKUP(D2195,'报价表-配送'!$B$61:$I$65,8,0),0)+IF(AND(MOD(H2195,30)&gt;18,MOD(H2195,30)&lt;=30),1,0)*VLOOKUP(D2195,'报价表-配送'!$B$61:$I$65,8,0)+IF(AND(MOD(H2195,30)&gt;8,MOD(H2195,30)&lt;=18),1*VLOOKUP(D2195,'报价表-配送'!$B$61:$I$65,7,0),0)+IF(AND(MOD(H2195,30)&lt;=8,MOD(H2195,30)&gt;2.5),1,0)*VLOOKUP(D2195,'报价表-配送'!$B$61:$I$65,6,0)+IF(AND(MOD(H2195,30)&lt;=2.5,MOD(H2195,30)&gt;=1.5),1,0)*VLOOKUP(D2195,'报价表-配送'!$B$61:$I$65,5,0)</f>
        <v>0</v>
      </c>
      <c r="M2195" s="39">
        <f>IF(AND(MOD(H2195,30)&lt;1.5,MOD(H2195,30)&gt;=0.5),H2195,0)*VLOOKUP(D2195,'报价表-配送'!$B$61:$I$65,4,0)*1000+IF(AND(MOD(H2195,30)&lt;0.5,MOD(H2195,30)&gt;=0.02),H2195,0)*VLOOKUP(D2195,'报价表-配送'!$B$61:$I$65,3,0)*1000+IF(AND(MOD(H2195,30)&lt;0.02),H2195,0)*VLOOKUP(D2195,'报价表-配送'!$B$61:$I$65,2,0)*1000</f>
        <v>0</v>
      </c>
      <c r="N2195" s="38">
        <f t="shared" si="33"/>
        <v>0</v>
      </c>
    </row>
    <row r="2196" spans="1:14" x14ac:dyDescent="0.25">
      <c r="A2196" s="37" t="s">
        <v>241</v>
      </c>
      <c r="B2196" s="43" t="s">
        <v>175</v>
      </c>
      <c r="C2196" s="62">
        <f>VLOOKUP(B2196,合并仓明细!$D$2:$F$74,3,0)</f>
        <v>68</v>
      </c>
      <c r="D2196" t="s">
        <v>393</v>
      </c>
      <c r="E2196" s="54" t="s">
        <v>263</v>
      </c>
      <c r="F2196" s="53" t="s">
        <v>66</v>
      </c>
      <c r="G2196">
        <v>35.75</v>
      </c>
      <c r="H2196">
        <v>3.5749999999999997E-2</v>
      </c>
      <c r="L2196" s="37">
        <f>IF(H2196&gt;30,QUOTIENT(H2196,30)*VLOOKUP(D2196,'报价表-配送'!$B$61:$I$65,8,0),0)+IF(AND(MOD(H2196,30)&gt;18,MOD(H2196,30)&lt;=30),1,0)*VLOOKUP(D2196,'报价表-配送'!$B$61:$I$65,8,0)+IF(AND(MOD(H2196,30)&gt;8,MOD(H2196,30)&lt;=18),1*VLOOKUP(D2196,'报价表-配送'!$B$61:$I$65,7,0),0)+IF(AND(MOD(H2196,30)&lt;=8,MOD(H2196,30)&gt;2.5),1,0)*VLOOKUP(D2196,'报价表-配送'!$B$61:$I$65,6,0)+IF(AND(MOD(H2196,30)&lt;=2.5,MOD(H2196,30)&gt;=1.5),1,0)*VLOOKUP(D2196,'报价表-配送'!$B$61:$I$65,5,0)</f>
        <v>0</v>
      </c>
      <c r="M2196" s="39">
        <f>IF(AND(MOD(H2196,30)&lt;1.5,MOD(H2196,30)&gt;=0.5),H2196,0)*VLOOKUP(D2196,'报价表-配送'!$B$61:$I$65,4,0)*1000+IF(AND(MOD(H2196,30)&lt;0.5,MOD(H2196,30)&gt;=0.02),H2196,0)*VLOOKUP(D2196,'报价表-配送'!$B$61:$I$65,3,0)*1000+IF(AND(MOD(H2196,30)&lt;0.02),H2196,0)*VLOOKUP(D2196,'报价表-配送'!$B$61:$I$65,2,0)*1000</f>
        <v>0</v>
      </c>
      <c r="N2196" s="38">
        <f t="shared" si="33"/>
        <v>0</v>
      </c>
    </row>
    <row r="2197" spans="1:14" x14ac:dyDescent="0.25">
      <c r="A2197" s="37" t="s">
        <v>241</v>
      </c>
      <c r="B2197" s="43" t="s">
        <v>175</v>
      </c>
      <c r="C2197" s="62">
        <f>VLOOKUP(B2197,合并仓明细!$D$2:$F$74,3,0)</f>
        <v>68</v>
      </c>
      <c r="D2197" t="s">
        <v>393</v>
      </c>
      <c r="E2197" s="54" t="s">
        <v>307</v>
      </c>
      <c r="F2197" s="53" t="s">
        <v>66</v>
      </c>
      <c r="G2197">
        <v>7.6099999999999994</v>
      </c>
      <c r="H2197">
        <v>7.6099999999999996E-3</v>
      </c>
      <c r="L2197" s="37">
        <f>IF(H2197&gt;30,QUOTIENT(H2197,30)*VLOOKUP(D2197,'报价表-配送'!$B$61:$I$65,8,0),0)+IF(AND(MOD(H2197,30)&gt;18,MOD(H2197,30)&lt;=30),1,0)*VLOOKUP(D2197,'报价表-配送'!$B$61:$I$65,8,0)+IF(AND(MOD(H2197,30)&gt;8,MOD(H2197,30)&lt;=18),1*VLOOKUP(D2197,'报价表-配送'!$B$61:$I$65,7,0),0)+IF(AND(MOD(H2197,30)&lt;=8,MOD(H2197,30)&gt;2.5),1,0)*VLOOKUP(D2197,'报价表-配送'!$B$61:$I$65,6,0)+IF(AND(MOD(H2197,30)&lt;=2.5,MOD(H2197,30)&gt;=1.5),1,0)*VLOOKUP(D2197,'报价表-配送'!$B$61:$I$65,5,0)</f>
        <v>0</v>
      </c>
      <c r="M2197" s="39">
        <f>IF(AND(MOD(H2197,30)&lt;1.5,MOD(H2197,30)&gt;=0.5),H2197,0)*VLOOKUP(D2197,'报价表-配送'!$B$61:$I$65,4,0)*1000+IF(AND(MOD(H2197,30)&lt;0.5,MOD(H2197,30)&gt;=0.02),H2197,0)*VLOOKUP(D2197,'报价表-配送'!$B$61:$I$65,3,0)*1000+IF(AND(MOD(H2197,30)&lt;0.02),H2197,0)*VLOOKUP(D2197,'报价表-配送'!$B$61:$I$65,2,0)*1000</f>
        <v>0</v>
      </c>
      <c r="N2197" s="38">
        <f t="shared" si="33"/>
        <v>0</v>
      </c>
    </row>
    <row r="2198" spans="1:14" x14ac:dyDescent="0.25">
      <c r="A2198" s="37" t="s">
        <v>241</v>
      </c>
      <c r="B2198" s="43" t="s">
        <v>175</v>
      </c>
      <c r="C2198" s="62">
        <f>VLOOKUP(B2198,合并仓明细!$D$2:$F$74,3,0)</f>
        <v>68</v>
      </c>
      <c r="D2198" t="s">
        <v>393</v>
      </c>
      <c r="E2198" s="54" t="s">
        <v>264</v>
      </c>
      <c r="F2198" s="53" t="s">
        <v>68</v>
      </c>
      <c r="G2198">
        <v>234.70999999999998</v>
      </c>
      <c r="H2198">
        <v>2.1457600000000001</v>
      </c>
      <c r="I2198" s="46">
        <f>ROUNDUP(H2198/30,0)*VLOOKUP(D2198,'报价表-配送'!$B$61:$I$65,8,0)</f>
        <v>0</v>
      </c>
      <c r="J2198" s="38"/>
      <c r="K2198" s="38"/>
      <c r="L2198" s="37"/>
      <c r="M2198" s="39"/>
      <c r="N2198" s="38">
        <f t="shared" si="33"/>
        <v>0</v>
      </c>
    </row>
    <row r="2199" spans="1:14" x14ac:dyDescent="0.25">
      <c r="A2199" s="37" t="s">
        <v>241</v>
      </c>
      <c r="B2199" s="43" t="s">
        <v>175</v>
      </c>
      <c r="C2199" s="62">
        <f>VLOOKUP(B2199,合并仓明细!$D$2:$F$74,3,0)</f>
        <v>68</v>
      </c>
      <c r="D2199" t="s">
        <v>393</v>
      </c>
      <c r="E2199" s="54" t="s">
        <v>264</v>
      </c>
      <c r="F2199" s="53" t="s">
        <v>67</v>
      </c>
      <c r="G2199">
        <v>1759.89</v>
      </c>
      <c r="H2199"/>
      <c r="N2199" s="38">
        <f t="shared" si="33"/>
        <v>0</v>
      </c>
    </row>
    <row r="2200" spans="1:14" x14ac:dyDescent="0.25">
      <c r="A2200" s="37" t="s">
        <v>241</v>
      </c>
      <c r="B2200" s="43" t="s">
        <v>175</v>
      </c>
      <c r="C2200" s="62">
        <f>VLOOKUP(B2200,合并仓明细!$D$2:$F$74,3,0)</f>
        <v>68</v>
      </c>
      <c r="D2200" t="s">
        <v>393</v>
      </c>
      <c r="E2200" s="54" t="s">
        <v>264</v>
      </c>
      <c r="F2200" s="53" t="s">
        <v>66</v>
      </c>
      <c r="G2200">
        <v>151.16000000000003</v>
      </c>
      <c r="H2200"/>
      <c r="N2200" s="38">
        <f t="shared" si="33"/>
        <v>0</v>
      </c>
    </row>
    <row r="2201" spans="1:14" x14ac:dyDescent="0.25">
      <c r="A2201" s="37" t="s">
        <v>241</v>
      </c>
      <c r="B2201" s="43" t="s">
        <v>175</v>
      </c>
      <c r="C2201" s="62">
        <f>VLOOKUP(B2201,合并仓明细!$D$2:$F$74,3,0)</f>
        <v>68</v>
      </c>
      <c r="D2201" t="s">
        <v>393</v>
      </c>
      <c r="E2201" s="54" t="s">
        <v>308</v>
      </c>
      <c r="F2201" s="53" t="s">
        <v>68</v>
      </c>
      <c r="G2201">
        <v>18.88</v>
      </c>
      <c r="H2201">
        <v>1.0944099999999999</v>
      </c>
      <c r="I2201" s="46">
        <f>ROUNDUP(H2201/30,0)*VLOOKUP(D2201,'报价表-配送'!$B$61:$I$65,8,0)</f>
        <v>0</v>
      </c>
      <c r="J2201" s="38"/>
      <c r="K2201" s="38"/>
      <c r="L2201" s="37"/>
      <c r="M2201" s="39"/>
      <c r="N2201" s="38">
        <f t="shared" si="33"/>
        <v>0</v>
      </c>
    </row>
    <row r="2202" spans="1:14" x14ac:dyDescent="0.25">
      <c r="A2202" s="37" t="s">
        <v>241</v>
      </c>
      <c r="B2202" s="43" t="s">
        <v>175</v>
      </c>
      <c r="C2202" s="62">
        <f>VLOOKUP(B2202,合并仓明细!$D$2:$F$74,3,0)</f>
        <v>68</v>
      </c>
      <c r="D2202" t="s">
        <v>393</v>
      </c>
      <c r="E2202" s="54" t="s">
        <v>308</v>
      </c>
      <c r="F2202" s="53" t="s">
        <v>67</v>
      </c>
      <c r="G2202">
        <v>743.16000000000008</v>
      </c>
      <c r="H2202"/>
      <c r="N2202" s="38">
        <f t="shared" si="33"/>
        <v>0</v>
      </c>
    </row>
    <row r="2203" spans="1:14" x14ac:dyDescent="0.25">
      <c r="A2203" s="37" t="s">
        <v>241</v>
      </c>
      <c r="B2203" s="43" t="s">
        <v>175</v>
      </c>
      <c r="C2203" s="62">
        <f>VLOOKUP(B2203,合并仓明细!$D$2:$F$74,3,0)</f>
        <v>68</v>
      </c>
      <c r="D2203" t="s">
        <v>393</v>
      </c>
      <c r="E2203" s="54" t="s">
        <v>308</v>
      </c>
      <c r="F2203" s="53" t="s">
        <v>66</v>
      </c>
      <c r="G2203">
        <v>332.36999999999989</v>
      </c>
      <c r="H2203"/>
      <c r="N2203" s="38">
        <f t="shared" si="33"/>
        <v>0</v>
      </c>
    </row>
    <row r="2204" spans="1:14" x14ac:dyDescent="0.25">
      <c r="A2204" s="37" t="s">
        <v>241</v>
      </c>
      <c r="B2204" s="43" t="s">
        <v>175</v>
      </c>
      <c r="C2204" s="62">
        <f>VLOOKUP(B2204,合并仓明细!$D$2:$F$74,3,0)</f>
        <v>68</v>
      </c>
      <c r="D2204" t="s">
        <v>393</v>
      </c>
      <c r="E2204" s="54" t="s">
        <v>344</v>
      </c>
      <c r="F2204" s="53" t="s">
        <v>66</v>
      </c>
      <c r="G2204">
        <v>74.69</v>
      </c>
      <c r="H2204">
        <v>7.4689999999999993E-2</v>
      </c>
      <c r="I2204" s="38"/>
      <c r="J2204" s="38"/>
      <c r="K2204" s="38"/>
      <c r="L2204" s="37">
        <f>IF(H2204&gt;30,QUOTIENT(H2204,30)*VLOOKUP(D2204,'报价表-配送'!$B$61:$I$65,8,0),0)+IF(AND(MOD(H2204,30)&gt;18,MOD(H2204,30)&lt;=30),1,0)*VLOOKUP(D2204,'报价表-配送'!$B$61:$I$65,8,0)+IF(AND(MOD(H2204,30)&gt;8,MOD(H2204,30)&lt;=18),1*VLOOKUP(D2204,'报价表-配送'!$B$61:$I$65,7,0),0)+IF(AND(MOD(H2204,30)&lt;=8,MOD(H2204,30)&gt;2.5),1,0)*VLOOKUP(D2204,'报价表-配送'!$B$61:$I$65,6,0)+IF(AND(MOD(H2204,30)&lt;=2.5,MOD(H2204,30)&gt;=1.5),1,0)*VLOOKUP(D2204,'报价表-配送'!$B$61:$I$65,5,0)</f>
        <v>0</v>
      </c>
      <c r="M2204" s="39">
        <f>IF(AND(MOD(H2204,30)&lt;1.5,MOD(H2204,30)&gt;=0.5),H2204,0)*VLOOKUP(D2204,'报价表-配送'!$B$61:$I$65,4,0)*1000+IF(AND(MOD(H2204,30)&lt;0.5,MOD(H2204,30)&gt;=0.02),H2204,0)*VLOOKUP(D2204,'报价表-配送'!$B$61:$I$65,3,0)*1000+IF(AND(MOD(H2204,30)&lt;0.02),H2204,0)*VLOOKUP(D2204,'报价表-配送'!$B$61:$I$65,2,0)*1000</f>
        <v>0</v>
      </c>
      <c r="N2204" s="38">
        <f t="shared" si="33"/>
        <v>0</v>
      </c>
    </row>
    <row r="2205" spans="1:14" x14ac:dyDescent="0.25">
      <c r="A2205" s="37" t="s">
        <v>241</v>
      </c>
      <c r="B2205" s="43" t="s">
        <v>175</v>
      </c>
      <c r="C2205" s="62">
        <f>VLOOKUP(B2205,合并仓明细!$D$2:$F$74,3,0)</f>
        <v>68</v>
      </c>
      <c r="D2205" t="s">
        <v>393</v>
      </c>
      <c r="E2205" s="54" t="s">
        <v>257</v>
      </c>
      <c r="F2205" s="53" t="s">
        <v>66</v>
      </c>
      <c r="G2205">
        <v>2266.6</v>
      </c>
      <c r="H2205">
        <v>2.2665999999999999</v>
      </c>
      <c r="L2205" s="37">
        <f>IF(H2205&gt;30,QUOTIENT(H2205,30)*VLOOKUP(D2205,'报价表-配送'!$B$61:$I$65,8,0),0)+IF(AND(MOD(H2205,30)&gt;18,MOD(H2205,30)&lt;=30),1,0)*VLOOKUP(D2205,'报价表-配送'!$B$61:$I$65,8,0)+IF(AND(MOD(H2205,30)&gt;8,MOD(H2205,30)&lt;=18),1*VLOOKUP(D2205,'报价表-配送'!$B$61:$I$65,7,0),0)+IF(AND(MOD(H2205,30)&lt;=8,MOD(H2205,30)&gt;2.5),1,0)*VLOOKUP(D2205,'报价表-配送'!$B$61:$I$65,6,0)+IF(AND(MOD(H2205,30)&lt;=2.5,MOD(H2205,30)&gt;=1.5),1,0)*VLOOKUP(D2205,'报价表-配送'!$B$61:$I$65,5,0)</f>
        <v>0</v>
      </c>
      <c r="M2205" s="39">
        <f>IF(AND(MOD(H2205,30)&lt;1.5,MOD(H2205,30)&gt;=0.5),H2205,0)*VLOOKUP(D2205,'报价表-配送'!$B$61:$I$65,4,0)*1000+IF(AND(MOD(H2205,30)&lt;0.5,MOD(H2205,30)&gt;=0.02),H2205,0)*VLOOKUP(D2205,'报价表-配送'!$B$61:$I$65,3,0)*1000+IF(AND(MOD(H2205,30)&lt;0.02),H2205,0)*VLOOKUP(D2205,'报价表-配送'!$B$61:$I$65,2,0)*1000</f>
        <v>0</v>
      </c>
      <c r="N2205" s="38">
        <f t="shared" si="33"/>
        <v>0</v>
      </c>
    </row>
    <row r="2206" spans="1:14" x14ac:dyDescent="0.25">
      <c r="A2206" s="37" t="s">
        <v>241</v>
      </c>
      <c r="B2206" s="43" t="s">
        <v>175</v>
      </c>
      <c r="C2206" s="62">
        <f>VLOOKUP(B2206,合并仓明细!$D$2:$F$74,3,0)</f>
        <v>68</v>
      </c>
      <c r="D2206" t="s">
        <v>393</v>
      </c>
      <c r="E2206" s="54" t="s">
        <v>369</v>
      </c>
      <c r="F2206" s="53" t="s">
        <v>66</v>
      </c>
      <c r="G2206">
        <v>48.5</v>
      </c>
      <c r="H2206">
        <v>4.8500000000000001E-2</v>
      </c>
      <c r="L2206" s="37">
        <f>IF(H2206&gt;30,QUOTIENT(H2206,30)*VLOOKUP(D2206,'报价表-配送'!$B$61:$I$65,8,0),0)+IF(AND(MOD(H2206,30)&gt;18,MOD(H2206,30)&lt;=30),1,0)*VLOOKUP(D2206,'报价表-配送'!$B$61:$I$65,8,0)+IF(AND(MOD(H2206,30)&gt;8,MOD(H2206,30)&lt;=18),1*VLOOKUP(D2206,'报价表-配送'!$B$61:$I$65,7,0),0)+IF(AND(MOD(H2206,30)&lt;=8,MOD(H2206,30)&gt;2.5),1,0)*VLOOKUP(D2206,'报价表-配送'!$B$61:$I$65,6,0)+IF(AND(MOD(H2206,30)&lt;=2.5,MOD(H2206,30)&gt;=1.5),1,0)*VLOOKUP(D2206,'报价表-配送'!$B$61:$I$65,5,0)</f>
        <v>0</v>
      </c>
      <c r="M2206" s="39">
        <f>IF(AND(MOD(H2206,30)&lt;1.5,MOD(H2206,30)&gt;=0.5),H2206,0)*VLOOKUP(D2206,'报价表-配送'!$B$61:$I$65,4,0)*1000+IF(AND(MOD(H2206,30)&lt;0.5,MOD(H2206,30)&gt;=0.02),H2206,0)*VLOOKUP(D2206,'报价表-配送'!$B$61:$I$65,3,0)*1000+IF(AND(MOD(H2206,30)&lt;0.02),H2206,0)*VLOOKUP(D2206,'报价表-配送'!$B$61:$I$65,2,0)*1000</f>
        <v>0</v>
      </c>
      <c r="N2206" s="38">
        <f t="shared" si="33"/>
        <v>0</v>
      </c>
    </row>
    <row r="2207" spans="1:14" x14ac:dyDescent="0.25">
      <c r="A2207" s="37" t="s">
        <v>241</v>
      </c>
      <c r="B2207" s="43" t="s">
        <v>175</v>
      </c>
      <c r="C2207" s="62">
        <f>VLOOKUP(B2207,合并仓明细!$D$2:$F$74,3,0)</f>
        <v>68</v>
      </c>
      <c r="D2207" t="s">
        <v>393</v>
      </c>
      <c r="E2207" s="54" t="s">
        <v>266</v>
      </c>
      <c r="F2207" s="53" t="s">
        <v>68</v>
      </c>
      <c r="G2207">
        <v>4953.8099999999995</v>
      </c>
      <c r="H2207">
        <v>5.7054299999999998</v>
      </c>
      <c r="I2207" s="46">
        <f>ROUNDUP(H2207/30,0)*VLOOKUP(D2207,'报价表-配送'!$B$61:$I$65,8,0)</f>
        <v>0</v>
      </c>
      <c r="L2207" s="37"/>
      <c r="M2207" s="39"/>
      <c r="N2207" s="38">
        <f t="shared" si="33"/>
        <v>0</v>
      </c>
    </row>
    <row r="2208" spans="1:14" x14ac:dyDescent="0.25">
      <c r="A2208" s="37" t="s">
        <v>241</v>
      </c>
      <c r="B2208" s="43" t="s">
        <v>175</v>
      </c>
      <c r="C2208" s="62">
        <f>VLOOKUP(B2208,合并仓明细!$D$2:$F$74,3,0)</f>
        <v>68</v>
      </c>
      <c r="D2208" t="s">
        <v>393</v>
      </c>
      <c r="E2208" s="54" t="s">
        <v>266</v>
      </c>
      <c r="F2208" s="53" t="s">
        <v>67</v>
      </c>
      <c r="G2208">
        <v>120.18</v>
      </c>
      <c r="H2208"/>
      <c r="I2208" s="38"/>
      <c r="J2208" s="38"/>
      <c r="K2208" s="38"/>
      <c r="L2208" s="37"/>
      <c r="M2208" s="37"/>
      <c r="N2208" s="38">
        <f t="shared" si="33"/>
        <v>0</v>
      </c>
    </row>
    <row r="2209" spans="1:14" x14ac:dyDescent="0.25">
      <c r="A2209" s="37" t="s">
        <v>241</v>
      </c>
      <c r="B2209" s="43" t="s">
        <v>175</v>
      </c>
      <c r="C2209" s="62">
        <f>VLOOKUP(B2209,合并仓明细!$D$2:$F$74,3,0)</f>
        <v>68</v>
      </c>
      <c r="D2209" t="s">
        <v>393</v>
      </c>
      <c r="E2209" s="54" t="s">
        <v>266</v>
      </c>
      <c r="F2209" s="53" t="s">
        <v>66</v>
      </c>
      <c r="G2209">
        <v>631.43999999999994</v>
      </c>
      <c r="H2209"/>
      <c r="N2209" s="38">
        <f t="shared" si="33"/>
        <v>0</v>
      </c>
    </row>
    <row r="2210" spans="1:14" x14ac:dyDescent="0.25">
      <c r="A2210" s="37" t="s">
        <v>241</v>
      </c>
      <c r="B2210" s="43" t="s">
        <v>175</v>
      </c>
      <c r="C2210" s="62">
        <f>VLOOKUP(B2210,合并仓明细!$D$2:$F$74,3,0)</f>
        <v>68</v>
      </c>
      <c r="D2210" t="s">
        <v>393</v>
      </c>
      <c r="E2210" s="54" t="s">
        <v>309</v>
      </c>
      <c r="F2210" s="53" t="s">
        <v>66</v>
      </c>
      <c r="G2210">
        <v>60.55</v>
      </c>
      <c r="H2210">
        <v>6.055E-2</v>
      </c>
      <c r="L2210" s="37">
        <f>IF(H2210&gt;30,QUOTIENT(H2210,30)*VLOOKUP(D2210,'报价表-配送'!$B$61:$I$65,8,0),0)+IF(AND(MOD(H2210,30)&gt;18,MOD(H2210,30)&lt;=30),1,0)*VLOOKUP(D2210,'报价表-配送'!$B$61:$I$65,8,0)+IF(AND(MOD(H2210,30)&gt;8,MOD(H2210,30)&lt;=18),1*VLOOKUP(D2210,'报价表-配送'!$B$61:$I$65,7,0),0)+IF(AND(MOD(H2210,30)&lt;=8,MOD(H2210,30)&gt;2.5),1,0)*VLOOKUP(D2210,'报价表-配送'!$B$61:$I$65,6,0)+IF(AND(MOD(H2210,30)&lt;=2.5,MOD(H2210,30)&gt;=1.5),1,0)*VLOOKUP(D2210,'报价表-配送'!$B$61:$I$65,5,0)</f>
        <v>0</v>
      </c>
      <c r="M2210" s="39">
        <f>IF(AND(MOD(H2210,30)&lt;1.5,MOD(H2210,30)&gt;=0.5),H2210,0)*VLOOKUP(D2210,'报价表-配送'!$B$61:$I$65,4,0)*1000+IF(AND(MOD(H2210,30)&lt;0.5,MOD(H2210,30)&gt;=0.02),H2210,0)*VLOOKUP(D2210,'报价表-配送'!$B$61:$I$65,3,0)*1000+IF(AND(MOD(H2210,30)&lt;0.02),H2210,0)*VLOOKUP(D2210,'报价表-配送'!$B$61:$I$65,2,0)*1000</f>
        <v>0</v>
      </c>
      <c r="N2210" s="38">
        <f t="shared" si="33"/>
        <v>0</v>
      </c>
    </row>
    <row r="2211" spans="1:14" x14ac:dyDescent="0.25">
      <c r="A2211" s="37" t="s">
        <v>241</v>
      </c>
      <c r="B2211" s="43" t="s">
        <v>175</v>
      </c>
      <c r="C2211" s="62">
        <f>VLOOKUP(B2211,合并仓明细!$D$2:$F$74,3,0)</f>
        <v>68</v>
      </c>
      <c r="D2211" t="s">
        <v>393</v>
      </c>
      <c r="E2211" s="54" t="s">
        <v>267</v>
      </c>
      <c r="F2211" s="53" t="s">
        <v>66</v>
      </c>
      <c r="G2211">
        <v>652.55999999999995</v>
      </c>
      <c r="H2211">
        <v>0.65255999999999992</v>
      </c>
      <c r="L2211" s="37">
        <f>IF(H2211&gt;30,QUOTIENT(H2211,30)*VLOOKUP(D2211,'报价表-配送'!$B$61:$I$65,8,0),0)+IF(AND(MOD(H2211,30)&gt;18,MOD(H2211,30)&lt;=30),1,0)*VLOOKUP(D2211,'报价表-配送'!$B$61:$I$65,8,0)+IF(AND(MOD(H2211,30)&gt;8,MOD(H2211,30)&lt;=18),1*VLOOKUP(D2211,'报价表-配送'!$B$61:$I$65,7,0),0)+IF(AND(MOD(H2211,30)&lt;=8,MOD(H2211,30)&gt;2.5),1,0)*VLOOKUP(D2211,'报价表-配送'!$B$61:$I$65,6,0)+IF(AND(MOD(H2211,30)&lt;=2.5,MOD(H2211,30)&gt;=1.5),1,0)*VLOOKUP(D2211,'报价表-配送'!$B$61:$I$65,5,0)</f>
        <v>0</v>
      </c>
      <c r="M2211" s="39">
        <f>IF(AND(MOD(H2211,30)&lt;1.5,MOD(H2211,30)&gt;=0.5),H2211,0)*VLOOKUP(D2211,'报价表-配送'!$B$61:$I$65,4,0)*1000+IF(AND(MOD(H2211,30)&lt;0.5,MOD(H2211,30)&gt;=0.02),H2211,0)*VLOOKUP(D2211,'报价表-配送'!$B$61:$I$65,3,0)*1000+IF(AND(MOD(H2211,30)&lt;0.02),H2211,0)*VLOOKUP(D2211,'报价表-配送'!$B$61:$I$65,2,0)*1000</f>
        <v>0</v>
      </c>
      <c r="N2211" s="38">
        <f t="shared" si="33"/>
        <v>0</v>
      </c>
    </row>
    <row r="2212" spans="1:14" x14ac:dyDescent="0.25">
      <c r="A2212" s="37" t="s">
        <v>241</v>
      </c>
      <c r="B2212" s="43" t="s">
        <v>175</v>
      </c>
      <c r="C2212" s="62">
        <f>VLOOKUP(B2212,合并仓明细!$D$2:$F$74,3,0)</f>
        <v>68</v>
      </c>
      <c r="D2212" t="s">
        <v>393</v>
      </c>
      <c r="E2212" s="54" t="s">
        <v>258</v>
      </c>
      <c r="F2212" s="53" t="s">
        <v>67</v>
      </c>
      <c r="G2212">
        <v>20850.82</v>
      </c>
      <c r="H2212">
        <v>22.16141</v>
      </c>
      <c r="I2212" s="38">
        <f>IF(H2212&gt;30,QUOTIENT(H2212,30)*VLOOKUP(D2212,'报价表-配送'!$B$61:$I$65,8,0),0)+IF(AND(MOD(H2212,30)&gt;18,MOD(H2212,30)&lt;=30),1,0)*VLOOKUP(D2212,'报价表-配送'!$B$61:$I$65,8,0)</f>
        <v>0</v>
      </c>
      <c r="J2212" s="38">
        <f>IF(AND(MOD(H2212,30)&gt;8,MOD(H2212,30)&lt;=18),1*VLOOKUP(D2212,'报价表-配送'!$B$61:$I$65,7,0),0)</f>
        <v>0</v>
      </c>
      <c r="K2212" s="38">
        <f>IF(AND(MOD(H2212,30)&lt;=8,MOD(H2212,30)&gt;0),1,0)*VLOOKUP(D2212,'报价表-配送'!$B$61:$I$65,6,0)</f>
        <v>0</v>
      </c>
      <c r="L2212" s="37"/>
      <c r="M2212" s="37"/>
      <c r="N2212" s="38">
        <f t="shared" si="33"/>
        <v>0</v>
      </c>
    </row>
    <row r="2213" spans="1:14" x14ac:dyDescent="0.25">
      <c r="A2213" s="37" t="s">
        <v>241</v>
      </c>
      <c r="B2213" s="43" t="s">
        <v>175</v>
      </c>
      <c r="C2213" s="62">
        <f>VLOOKUP(B2213,合并仓明细!$D$2:$F$74,3,0)</f>
        <v>68</v>
      </c>
      <c r="D2213" t="s">
        <v>393</v>
      </c>
      <c r="E2213" s="54" t="s">
        <v>258</v>
      </c>
      <c r="F2213" s="53" t="s">
        <v>66</v>
      </c>
      <c r="G2213">
        <v>1310.5900000000001</v>
      </c>
      <c r="H2213"/>
      <c r="N2213" s="38">
        <f t="shared" si="33"/>
        <v>0</v>
      </c>
    </row>
    <row r="2214" spans="1:14" x14ac:dyDescent="0.25">
      <c r="A2214" s="37" t="s">
        <v>241</v>
      </c>
      <c r="B2214" s="43" t="s">
        <v>175</v>
      </c>
      <c r="C2214" s="62">
        <f>VLOOKUP(B2214,合并仓明细!$D$2:$F$74,3,0)</f>
        <v>68</v>
      </c>
      <c r="D2214" t="s">
        <v>393</v>
      </c>
      <c r="E2214" s="54" t="s">
        <v>268</v>
      </c>
      <c r="F2214" s="53" t="s">
        <v>68</v>
      </c>
      <c r="G2214">
        <v>470.91999999999996</v>
      </c>
      <c r="H2214">
        <v>1.0515300000000001</v>
      </c>
      <c r="I2214" s="46">
        <f>ROUNDUP(H2214/30,0)*VLOOKUP(D2214,'报价表-配送'!$B$61:$I$65,8,0)</f>
        <v>0</v>
      </c>
      <c r="L2214" s="37"/>
      <c r="M2214" s="39"/>
      <c r="N2214" s="38">
        <f t="shared" si="33"/>
        <v>0</v>
      </c>
    </row>
    <row r="2215" spans="1:14" x14ac:dyDescent="0.25">
      <c r="A2215" s="37" t="s">
        <v>241</v>
      </c>
      <c r="B2215" s="43" t="s">
        <v>175</v>
      </c>
      <c r="C2215" s="62">
        <f>VLOOKUP(B2215,合并仓明细!$D$2:$F$74,3,0)</f>
        <v>68</v>
      </c>
      <c r="D2215" t="s">
        <v>393</v>
      </c>
      <c r="E2215" s="54" t="s">
        <v>268</v>
      </c>
      <c r="F2215" s="53" t="s">
        <v>67</v>
      </c>
      <c r="G2215">
        <v>292.91000000000003</v>
      </c>
      <c r="H2215"/>
      <c r="L2215" s="37"/>
      <c r="M2215" s="39"/>
      <c r="N2215" s="38">
        <f t="shared" si="33"/>
        <v>0</v>
      </c>
    </row>
    <row r="2216" spans="1:14" x14ac:dyDescent="0.25">
      <c r="A2216" s="37" t="s">
        <v>241</v>
      </c>
      <c r="B2216" s="43" t="s">
        <v>175</v>
      </c>
      <c r="C2216" s="62">
        <f>VLOOKUP(B2216,合并仓明细!$D$2:$F$74,3,0)</f>
        <v>68</v>
      </c>
      <c r="D2216" t="s">
        <v>393</v>
      </c>
      <c r="E2216" s="54" t="s">
        <v>268</v>
      </c>
      <c r="F2216" s="53" t="s">
        <v>66</v>
      </c>
      <c r="G2216">
        <v>287.7</v>
      </c>
      <c r="H2216"/>
      <c r="I2216" s="38"/>
      <c r="J2216" s="38"/>
      <c r="K2216" s="38"/>
      <c r="L2216" s="37"/>
      <c r="M2216" s="37"/>
      <c r="N2216" s="38">
        <f t="shared" si="33"/>
        <v>0</v>
      </c>
    </row>
    <row r="2217" spans="1:14" x14ac:dyDescent="0.25">
      <c r="A2217" s="37" t="s">
        <v>241</v>
      </c>
      <c r="B2217" s="43" t="s">
        <v>175</v>
      </c>
      <c r="C2217" s="62">
        <f>VLOOKUP(B2217,合并仓明细!$D$2:$F$74,3,0)</f>
        <v>68</v>
      </c>
      <c r="D2217" t="s">
        <v>393</v>
      </c>
      <c r="E2217" s="54" t="s">
        <v>335</v>
      </c>
      <c r="F2217" s="53" t="s">
        <v>67</v>
      </c>
      <c r="G2217">
        <v>3140.86</v>
      </c>
      <c r="H2217">
        <v>3.1590199999999999</v>
      </c>
      <c r="I2217" s="38">
        <f>IF(H2217&gt;30,QUOTIENT(H2217,30)*VLOOKUP(D2217,'报价表-配送'!$B$61:$I$65,8,0),0)+IF(AND(MOD(H2217,30)&gt;18,MOD(H2217,30)&lt;=30),1,0)*VLOOKUP(D2217,'报价表-配送'!$B$61:$I$65,8,0)</f>
        <v>0</v>
      </c>
      <c r="J2217" s="38">
        <f>IF(AND(MOD(H2217,30)&gt;8,MOD(H2217,30)&lt;=18),1*VLOOKUP(D2217,'报价表-配送'!$B$61:$I$65,7,0),0)</f>
        <v>0</v>
      </c>
      <c r="K2217" s="38">
        <f>IF(AND(MOD(H2217,30)&lt;=8,MOD(H2217,30)&gt;0),1,0)*VLOOKUP(D2217,'报价表-配送'!$B$61:$I$65,6,0)</f>
        <v>0</v>
      </c>
      <c r="N2217" s="38">
        <f t="shared" si="33"/>
        <v>0</v>
      </c>
    </row>
    <row r="2218" spans="1:14" x14ac:dyDescent="0.25">
      <c r="A2218" s="37" t="s">
        <v>241</v>
      </c>
      <c r="B2218" s="43" t="s">
        <v>175</v>
      </c>
      <c r="C2218" s="62">
        <f>VLOOKUP(B2218,合并仓明细!$D$2:$F$74,3,0)</f>
        <v>68</v>
      </c>
      <c r="D2218" t="s">
        <v>393</v>
      </c>
      <c r="E2218" s="54" t="s">
        <v>335</v>
      </c>
      <c r="F2218" s="53" t="s">
        <v>66</v>
      </c>
      <c r="G2218">
        <v>18.16</v>
      </c>
      <c r="H2218"/>
      <c r="L2218" s="37"/>
      <c r="M2218" s="39"/>
      <c r="N2218" s="38">
        <f t="shared" si="33"/>
        <v>0</v>
      </c>
    </row>
    <row r="2219" spans="1:14" x14ac:dyDescent="0.25">
      <c r="A2219" s="37" t="s">
        <v>241</v>
      </c>
      <c r="B2219" s="43" t="s">
        <v>175</v>
      </c>
      <c r="C2219" s="62">
        <f>VLOOKUP(B2219,合并仓明细!$D$2:$F$74,3,0)</f>
        <v>68</v>
      </c>
      <c r="D2219" t="s">
        <v>393</v>
      </c>
      <c r="E2219" s="54" t="s">
        <v>269</v>
      </c>
      <c r="F2219" s="53" t="s">
        <v>68</v>
      </c>
      <c r="G2219">
        <v>663.78</v>
      </c>
      <c r="H2219">
        <v>1.2264600000000001</v>
      </c>
      <c r="I2219" s="46">
        <f>ROUNDUP(H2219/30,0)*VLOOKUP(D2219,'报价表-配送'!$B$61:$I$65,8,0)</f>
        <v>0</v>
      </c>
      <c r="N2219" s="38">
        <f t="shared" si="33"/>
        <v>0</v>
      </c>
    </row>
    <row r="2220" spans="1:14" x14ac:dyDescent="0.25">
      <c r="A2220" s="37" t="s">
        <v>241</v>
      </c>
      <c r="B2220" s="43" t="s">
        <v>175</v>
      </c>
      <c r="C2220" s="62">
        <f>VLOOKUP(B2220,合并仓明细!$D$2:$F$74,3,0)</f>
        <v>68</v>
      </c>
      <c r="D2220" t="s">
        <v>393</v>
      </c>
      <c r="E2220" s="54" t="s">
        <v>269</v>
      </c>
      <c r="F2220" s="53" t="s">
        <v>66</v>
      </c>
      <c r="G2220">
        <v>562.67999999999995</v>
      </c>
      <c r="H2220"/>
      <c r="N2220" s="38">
        <f t="shared" ref="N2220:N2283" si="34">SUM(I2220:M2220)</f>
        <v>0</v>
      </c>
    </row>
    <row r="2221" spans="1:14" x14ac:dyDescent="0.25">
      <c r="A2221" s="37" t="s">
        <v>241</v>
      </c>
      <c r="B2221" s="43" t="s">
        <v>175</v>
      </c>
      <c r="C2221" s="62">
        <f>VLOOKUP(B2221,合并仓明细!$D$2:$F$74,3,0)</f>
        <v>68</v>
      </c>
      <c r="D2221" t="s">
        <v>393</v>
      </c>
      <c r="E2221" s="54" t="s">
        <v>270</v>
      </c>
      <c r="F2221" s="53" t="s">
        <v>68</v>
      </c>
      <c r="G2221">
        <v>2340.9</v>
      </c>
      <c r="H2221">
        <v>3.1713</v>
      </c>
      <c r="I2221" s="46">
        <f>ROUNDUP(H2221/30,0)*VLOOKUP(D2221,'报价表-配送'!$B$61:$I$65,8,0)</f>
        <v>0</v>
      </c>
      <c r="J2221" s="38"/>
      <c r="K2221" s="38"/>
      <c r="L2221" s="37"/>
      <c r="M2221" s="39"/>
      <c r="N2221" s="38">
        <f t="shared" si="34"/>
        <v>0</v>
      </c>
    </row>
    <row r="2222" spans="1:14" x14ac:dyDescent="0.25">
      <c r="A2222" s="37" t="s">
        <v>241</v>
      </c>
      <c r="B2222" s="43" t="s">
        <v>175</v>
      </c>
      <c r="C2222" s="62">
        <f>VLOOKUP(B2222,合并仓明细!$D$2:$F$74,3,0)</f>
        <v>68</v>
      </c>
      <c r="D2222" t="s">
        <v>393</v>
      </c>
      <c r="E2222" s="54" t="s">
        <v>270</v>
      </c>
      <c r="F2222" s="53" t="s">
        <v>67</v>
      </c>
      <c r="G2222">
        <v>520.03</v>
      </c>
      <c r="H2222"/>
      <c r="N2222" s="38">
        <f t="shared" si="34"/>
        <v>0</v>
      </c>
    </row>
    <row r="2223" spans="1:14" x14ac:dyDescent="0.25">
      <c r="A2223" s="37" t="s">
        <v>241</v>
      </c>
      <c r="B2223" s="43" t="s">
        <v>175</v>
      </c>
      <c r="C2223" s="62">
        <f>VLOOKUP(B2223,合并仓明细!$D$2:$F$74,3,0)</f>
        <v>68</v>
      </c>
      <c r="D2223" t="s">
        <v>393</v>
      </c>
      <c r="E2223" s="54" t="s">
        <v>270</v>
      </c>
      <c r="F2223" s="53" t="s">
        <v>66</v>
      </c>
      <c r="G2223">
        <v>310.37000000000006</v>
      </c>
      <c r="H2223"/>
      <c r="N2223" s="38">
        <f t="shared" si="34"/>
        <v>0</v>
      </c>
    </row>
    <row r="2224" spans="1:14" x14ac:dyDescent="0.25">
      <c r="A2224" s="37" t="s">
        <v>241</v>
      </c>
      <c r="B2224" s="43" t="s">
        <v>175</v>
      </c>
      <c r="C2224" s="62">
        <f>VLOOKUP(B2224,合并仓明细!$D$2:$F$74,3,0)</f>
        <v>68</v>
      </c>
      <c r="D2224" t="s">
        <v>393</v>
      </c>
      <c r="E2224" s="54" t="s">
        <v>271</v>
      </c>
      <c r="F2224" s="53" t="s">
        <v>67</v>
      </c>
      <c r="G2224">
        <v>4100.3099999999995</v>
      </c>
      <c r="H2224">
        <v>4.117259999999999</v>
      </c>
      <c r="I2224" s="38">
        <f>IF(H2224&gt;30,QUOTIENT(H2224,30)*VLOOKUP(D2224,'报价表-配送'!$B$61:$I$65,8,0),0)+IF(AND(MOD(H2224,30)&gt;18,MOD(H2224,30)&lt;=30),1,0)*VLOOKUP(D2224,'报价表-配送'!$B$61:$I$65,8,0)</f>
        <v>0</v>
      </c>
      <c r="J2224" s="38">
        <f>IF(AND(MOD(H2224,30)&gt;8,MOD(H2224,30)&lt;=18),1*VLOOKUP(D2224,'报价表-配送'!$B$61:$I$65,7,0),0)</f>
        <v>0</v>
      </c>
      <c r="K2224" s="38">
        <f>IF(AND(MOD(H2224,30)&lt;=8,MOD(H2224,30)&gt;0),1,0)*VLOOKUP(D2224,'报价表-配送'!$B$61:$I$65,6,0)</f>
        <v>0</v>
      </c>
      <c r="L2224" s="37"/>
      <c r="M2224" s="39"/>
      <c r="N2224" s="38">
        <f t="shared" si="34"/>
        <v>0</v>
      </c>
    </row>
    <row r="2225" spans="1:14" x14ac:dyDescent="0.25">
      <c r="A2225" s="37" t="s">
        <v>241</v>
      </c>
      <c r="B2225" s="43" t="s">
        <v>175</v>
      </c>
      <c r="C2225" s="62">
        <f>VLOOKUP(B2225,合并仓明细!$D$2:$F$74,3,0)</f>
        <v>68</v>
      </c>
      <c r="D2225" t="s">
        <v>393</v>
      </c>
      <c r="E2225" s="54" t="s">
        <v>271</v>
      </c>
      <c r="F2225" s="53" t="s">
        <v>66</v>
      </c>
      <c r="G2225">
        <v>16.95</v>
      </c>
      <c r="H2225"/>
      <c r="I2225" s="38"/>
      <c r="J2225" s="38"/>
      <c r="K2225" s="38"/>
      <c r="L2225" s="37"/>
      <c r="M2225" s="37"/>
      <c r="N2225" s="38">
        <f t="shared" si="34"/>
        <v>0</v>
      </c>
    </row>
    <row r="2226" spans="1:14" x14ac:dyDescent="0.25">
      <c r="A2226" s="37" t="s">
        <v>241</v>
      </c>
      <c r="B2226" s="43" t="s">
        <v>175</v>
      </c>
      <c r="C2226" s="62">
        <f>VLOOKUP(B2226,合并仓明细!$D$2:$F$74,3,0)</f>
        <v>68</v>
      </c>
      <c r="D2226" t="s">
        <v>393</v>
      </c>
      <c r="E2226" s="54" t="s">
        <v>272</v>
      </c>
      <c r="F2226" s="53" t="s">
        <v>66</v>
      </c>
      <c r="G2226">
        <v>1233.8800000000001</v>
      </c>
      <c r="H2226">
        <v>1.2338800000000001</v>
      </c>
      <c r="L2226" s="37">
        <f>IF(H2226&gt;30,QUOTIENT(H2226,30)*VLOOKUP(D2226,'报价表-配送'!$B$61:$I$65,8,0),0)+IF(AND(MOD(H2226,30)&gt;18,MOD(H2226,30)&lt;=30),1,0)*VLOOKUP(D2226,'报价表-配送'!$B$61:$I$65,8,0)+IF(AND(MOD(H2226,30)&gt;8,MOD(H2226,30)&lt;=18),1*VLOOKUP(D2226,'报价表-配送'!$B$61:$I$65,7,0),0)+IF(AND(MOD(H2226,30)&lt;=8,MOD(H2226,30)&gt;2.5),1,0)*VLOOKUP(D2226,'报价表-配送'!$B$61:$I$65,6,0)+IF(AND(MOD(H2226,30)&lt;=2.5,MOD(H2226,30)&gt;=1.5),1,0)*VLOOKUP(D2226,'报价表-配送'!$B$61:$I$65,5,0)</f>
        <v>0</v>
      </c>
      <c r="M2226" s="39">
        <f>IF(AND(MOD(H2226,30)&lt;1.5,MOD(H2226,30)&gt;=0.5),H2226,0)*VLOOKUP(D2226,'报价表-配送'!$B$61:$I$65,4,0)*1000+IF(AND(MOD(H2226,30)&lt;0.5,MOD(H2226,30)&gt;=0.02),H2226,0)*VLOOKUP(D2226,'报价表-配送'!$B$61:$I$65,3,0)*1000+IF(AND(MOD(H2226,30)&lt;0.02),H2226,0)*VLOOKUP(D2226,'报价表-配送'!$B$61:$I$65,2,0)*1000</f>
        <v>0</v>
      </c>
      <c r="N2226" s="38">
        <f t="shared" si="34"/>
        <v>0</v>
      </c>
    </row>
    <row r="2227" spans="1:14" x14ac:dyDescent="0.25">
      <c r="A2227" s="37" t="s">
        <v>241</v>
      </c>
      <c r="B2227" s="43" t="s">
        <v>175</v>
      </c>
      <c r="C2227" s="62">
        <f>VLOOKUP(B2227,合并仓明细!$D$2:$F$74,3,0)</f>
        <v>68</v>
      </c>
      <c r="D2227" t="s">
        <v>393</v>
      </c>
      <c r="E2227" s="54" t="s">
        <v>273</v>
      </c>
      <c r="F2227" s="53" t="s">
        <v>66</v>
      </c>
      <c r="G2227">
        <v>63.8</v>
      </c>
      <c r="H2227">
        <v>6.3799999999999996E-2</v>
      </c>
      <c r="I2227" s="46"/>
      <c r="J2227" s="38"/>
      <c r="K2227" s="38"/>
      <c r="L2227" s="37">
        <f>IF(H2227&gt;30,QUOTIENT(H2227,30)*VLOOKUP(D2227,'报价表-配送'!$B$61:$I$65,8,0),0)+IF(AND(MOD(H2227,30)&gt;18,MOD(H2227,30)&lt;=30),1,0)*VLOOKUP(D2227,'报价表-配送'!$B$61:$I$65,8,0)+IF(AND(MOD(H2227,30)&gt;8,MOD(H2227,30)&lt;=18),1*VLOOKUP(D2227,'报价表-配送'!$B$61:$I$65,7,0),0)+IF(AND(MOD(H2227,30)&lt;=8,MOD(H2227,30)&gt;2.5),1,0)*VLOOKUP(D2227,'报价表-配送'!$B$61:$I$65,6,0)+IF(AND(MOD(H2227,30)&lt;=2.5,MOD(H2227,30)&gt;=1.5),1,0)*VLOOKUP(D2227,'报价表-配送'!$B$61:$I$65,5,0)</f>
        <v>0</v>
      </c>
      <c r="M2227" s="39">
        <f>IF(AND(MOD(H2227,30)&lt;1.5,MOD(H2227,30)&gt;=0.5),H2227,0)*VLOOKUP(D2227,'报价表-配送'!$B$61:$I$65,4,0)*1000+IF(AND(MOD(H2227,30)&lt;0.5,MOD(H2227,30)&gt;=0.02),H2227,0)*VLOOKUP(D2227,'报价表-配送'!$B$61:$I$65,3,0)*1000+IF(AND(MOD(H2227,30)&lt;0.02),H2227,0)*VLOOKUP(D2227,'报价表-配送'!$B$61:$I$65,2,0)*1000</f>
        <v>0</v>
      </c>
      <c r="N2227" s="38">
        <f t="shared" si="34"/>
        <v>0</v>
      </c>
    </row>
    <row r="2228" spans="1:14" x14ac:dyDescent="0.25">
      <c r="A2228" s="37" t="s">
        <v>241</v>
      </c>
      <c r="B2228" s="43" t="s">
        <v>175</v>
      </c>
      <c r="C2228" s="62">
        <f>VLOOKUP(B2228,合并仓明细!$D$2:$F$74,3,0)</f>
        <v>68</v>
      </c>
      <c r="D2228" t="s">
        <v>393</v>
      </c>
      <c r="E2228" s="54" t="s">
        <v>336</v>
      </c>
      <c r="F2228" s="53" t="s">
        <v>67</v>
      </c>
      <c r="G2228">
        <v>4158.97</v>
      </c>
      <c r="H2228">
        <v>4.3783000000000003</v>
      </c>
      <c r="I2228" s="38">
        <f>IF(H2228&gt;30,QUOTIENT(H2228,30)*VLOOKUP(D2228,'报价表-配送'!$B$61:$I$65,8,0),0)+IF(AND(MOD(H2228,30)&gt;18,MOD(H2228,30)&lt;=30),1,0)*VLOOKUP(D2228,'报价表-配送'!$B$61:$I$65,8,0)</f>
        <v>0</v>
      </c>
      <c r="J2228" s="38">
        <f>IF(AND(MOD(H2228,30)&gt;8,MOD(H2228,30)&lt;=18),1*VLOOKUP(D2228,'报价表-配送'!$B$61:$I$65,7,0),0)</f>
        <v>0</v>
      </c>
      <c r="K2228" s="38">
        <f>IF(AND(MOD(H2228,30)&lt;=8,MOD(H2228,30)&gt;0),1,0)*VLOOKUP(D2228,'报价表-配送'!$B$61:$I$65,6,0)</f>
        <v>0</v>
      </c>
      <c r="N2228" s="38">
        <f t="shared" si="34"/>
        <v>0</v>
      </c>
    </row>
    <row r="2229" spans="1:14" x14ac:dyDescent="0.25">
      <c r="A2229" s="37" t="s">
        <v>241</v>
      </c>
      <c r="B2229" s="43" t="s">
        <v>175</v>
      </c>
      <c r="C2229" s="62">
        <f>VLOOKUP(B2229,合并仓明细!$D$2:$F$74,3,0)</f>
        <v>68</v>
      </c>
      <c r="D2229" t="s">
        <v>393</v>
      </c>
      <c r="E2229" s="54" t="s">
        <v>336</v>
      </c>
      <c r="F2229" s="53" t="s">
        <v>66</v>
      </c>
      <c r="G2229">
        <v>219.33</v>
      </c>
      <c r="H2229"/>
      <c r="I2229" s="46"/>
      <c r="J2229" s="38"/>
      <c r="K2229" s="38"/>
      <c r="L2229" s="37"/>
      <c r="M2229" s="39"/>
      <c r="N2229" s="38">
        <f t="shared" si="34"/>
        <v>0</v>
      </c>
    </row>
    <row r="2230" spans="1:14" x14ac:dyDescent="0.25">
      <c r="A2230" s="37" t="s">
        <v>241</v>
      </c>
      <c r="B2230" s="43" t="s">
        <v>175</v>
      </c>
      <c r="C2230" s="62">
        <f>VLOOKUP(B2230,合并仓明细!$D$2:$F$74,3,0)</f>
        <v>68</v>
      </c>
      <c r="D2230" t="s">
        <v>393</v>
      </c>
      <c r="E2230" s="54" t="s">
        <v>274</v>
      </c>
      <c r="F2230" s="53" t="s">
        <v>68</v>
      </c>
      <c r="G2230">
        <v>4754.87</v>
      </c>
      <c r="H2230">
        <v>7.4130399999999987</v>
      </c>
      <c r="I2230" s="46">
        <f>ROUNDUP(H2230/30,0)*VLOOKUP(D2230,'报价表-配送'!$B$61:$I$65,8,0)</f>
        <v>0</v>
      </c>
      <c r="N2230" s="38">
        <f t="shared" si="34"/>
        <v>0</v>
      </c>
    </row>
    <row r="2231" spans="1:14" x14ac:dyDescent="0.25">
      <c r="A2231" s="37" t="s">
        <v>241</v>
      </c>
      <c r="B2231" s="43" t="s">
        <v>175</v>
      </c>
      <c r="C2231" s="62">
        <f>VLOOKUP(B2231,合并仓明细!$D$2:$F$74,3,0)</f>
        <v>68</v>
      </c>
      <c r="D2231" t="s">
        <v>393</v>
      </c>
      <c r="E2231" s="54" t="s">
        <v>274</v>
      </c>
      <c r="F2231" s="53" t="s">
        <v>67</v>
      </c>
      <c r="G2231">
        <v>1597.52</v>
      </c>
      <c r="H2231"/>
      <c r="L2231" s="37"/>
      <c r="M2231" s="39"/>
      <c r="N2231" s="38">
        <f t="shared" si="34"/>
        <v>0</v>
      </c>
    </row>
    <row r="2232" spans="1:14" x14ac:dyDescent="0.25">
      <c r="A2232" s="37" t="s">
        <v>241</v>
      </c>
      <c r="B2232" s="43" t="s">
        <v>175</v>
      </c>
      <c r="C2232" s="62">
        <f>VLOOKUP(B2232,合并仓明细!$D$2:$F$74,3,0)</f>
        <v>68</v>
      </c>
      <c r="D2232" t="s">
        <v>393</v>
      </c>
      <c r="E2232" s="54" t="s">
        <v>274</v>
      </c>
      <c r="F2232" s="53" t="s">
        <v>66</v>
      </c>
      <c r="G2232">
        <v>1060.6500000000001</v>
      </c>
      <c r="H2232"/>
      <c r="L2232" s="37"/>
      <c r="M2232" s="39"/>
      <c r="N2232" s="38">
        <f t="shared" si="34"/>
        <v>0</v>
      </c>
    </row>
    <row r="2233" spans="1:14" x14ac:dyDescent="0.25">
      <c r="A2233" s="37" t="s">
        <v>241</v>
      </c>
      <c r="B2233" s="43" t="s">
        <v>175</v>
      </c>
      <c r="C2233" s="62">
        <f>VLOOKUP(B2233,合并仓明细!$D$2:$F$74,3,0)</f>
        <v>68</v>
      </c>
      <c r="D2233" t="s">
        <v>393</v>
      </c>
      <c r="E2233" s="54" t="s">
        <v>346</v>
      </c>
      <c r="F2233" s="53" t="s">
        <v>67</v>
      </c>
      <c r="G2233">
        <v>1353.64</v>
      </c>
      <c r="H2233">
        <v>1.4173100000000001</v>
      </c>
      <c r="I2233" s="38">
        <f>IF(H2233&gt;30,QUOTIENT(H2233,30)*VLOOKUP(D2233,'报价表-配送'!$B$61:$I$65,8,0),0)+IF(AND(MOD(H2233,30)&gt;18,MOD(H2233,30)&lt;=30),1,0)*VLOOKUP(D2233,'报价表-配送'!$B$61:$I$65,8,0)</f>
        <v>0</v>
      </c>
      <c r="J2233" s="38">
        <f>IF(AND(MOD(H2233,30)&gt;8,MOD(H2233,30)&lt;=18),1*VLOOKUP(D2233,'报价表-配送'!$B$61:$I$65,7,0),0)</f>
        <v>0</v>
      </c>
      <c r="K2233" s="38">
        <f>IF(AND(MOD(H2233,30)&lt;=8,MOD(H2233,30)&gt;0),1,0)*VLOOKUP(D2233,'报价表-配送'!$B$61:$I$65,6,0)</f>
        <v>0</v>
      </c>
      <c r="N2233" s="38">
        <f t="shared" si="34"/>
        <v>0</v>
      </c>
    </row>
    <row r="2234" spans="1:14" x14ac:dyDescent="0.25">
      <c r="A2234" s="37" t="s">
        <v>241</v>
      </c>
      <c r="B2234" s="43" t="s">
        <v>175</v>
      </c>
      <c r="C2234" s="62">
        <f>VLOOKUP(B2234,合并仓明细!$D$2:$F$74,3,0)</f>
        <v>68</v>
      </c>
      <c r="D2234" t="s">
        <v>393</v>
      </c>
      <c r="E2234" s="54" t="s">
        <v>346</v>
      </c>
      <c r="F2234" s="53" t="s">
        <v>66</v>
      </c>
      <c r="G2234">
        <v>63.670000000000009</v>
      </c>
      <c r="H2234"/>
      <c r="N2234" s="38">
        <f t="shared" si="34"/>
        <v>0</v>
      </c>
    </row>
    <row r="2235" spans="1:14" x14ac:dyDescent="0.25">
      <c r="A2235" s="37" t="s">
        <v>241</v>
      </c>
      <c r="B2235" s="43" t="s">
        <v>175</v>
      </c>
      <c r="C2235" s="62">
        <f>VLOOKUP(B2235,合并仓明细!$D$2:$F$74,3,0)</f>
        <v>68</v>
      </c>
      <c r="D2235" t="s">
        <v>393</v>
      </c>
      <c r="E2235" s="54" t="s">
        <v>310</v>
      </c>
      <c r="F2235" s="53" t="s">
        <v>67</v>
      </c>
      <c r="G2235">
        <v>579.39</v>
      </c>
      <c r="H2235">
        <v>1.4833199999999997</v>
      </c>
      <c r="I2235" s="38">
        <f>IF(H2235&gt;30,QUOTIENT(H2235,30)*VLOOKUP(D2235,'报价表-配送'!$B$61:$I$65,8,0),0)+IF(AND(MOD(H2235,30)&gt;18,MOD(H2235,30)&lt;=30),1,0)*VLOOKUP(D2235,'报价表-配送'!$B$61:$I$65,8,0)</f>
        <v>0</v>
      </c>
      <c r="J2235" s="38">
        <f>IF(AND(MOD(H2235,30)&gt;8,MOD(H2235,30)&lt;=18),1*VLOOKUP(D2235,'报价表-配送'!$B$61:$I$65,7,0),0)</f>
        <v>0</v>
      </c>
      <c r="K2235" s="38">
        <f>IF(AND(MOD(H2235,30)&lt;=8,MOD(H2235,30)&gt;0),1,0)*VLOOKUP(D2235,'报价表-配送'!$B$61:$I$65,6,0)</f>
        <v>0</v>
      </c>
      <c r="L2235" s="37"/>
      <c r="M2235" s="39"/>
      <c r="N2235" s="38">
        <f t="shared" si="34"/>
        <v>0</v>
      </c>
    </row>
    <row r="2236" spans="1:14" x14ac:dyDescent="0.25">
      <c r="A2236" s="37" t="s">
        <v>241</v>
      </c>
      <c r="B2236" s="43" t="s">
        <v>175</v>
      </c>
      <c r="C2236" s="62">
        <f>VLOOKUP(B2236,合并仓明细!$D$2:$F$74,3,0)</f>
        <v>68</v>
      </c>
      <c r="D2236" t="s">
        <v>393</v>
      </c>
      <c r="E2236" s="54" t="s">
        <v>310</v>
      </c>
      <c r="F2236" s="53" t="s">
        <v>66</v>
      </c>
      <c r="G2236">
        <v>903.92999999999984</v>
      </c>
      <c r="H2236"/>
      <c r="I2236" s="46"/>
      <c r="J2236" s="38"/>
      <c r="K2236" s="38"/>
      <c r="L2236" s="37"/>
      <c r="M2236" s="39"/>
      <c r="N2236" s="38">
        <f t="shared" si="34"/>
        <v>0</v>
      </c>
    </row>
    <row r="2237" spans="1:14" x14ac:dyDescent="0.25">
      <c r="A2237" s="37" t="s">
        <v>241</v>
      </c>
      <c r="B2237" s="43" t="s">
        <v>175</v>
      </c>
      <c r="C2237" s="62">
        <f>VLOOKUP(B2237,合并仓明细!$D$2:$F$74,3,0)</f>
        <v>68</v>
      </c>
      <c r="D2237" t="s">
        <v>393</v>
      </c>
      <c r="E2237" s="54" t="s">
        <v>337</v>
      </c>
      <c r="F2237" s="53" t="s">
        <v>66</v>
      </c>
      <c r="G2237">
        <v>540.2299999999999</v>
      </c>
      <c r="H2237">
        <v>0.54022999999999988</v>
      </c>
      <c r="L2237" s="37">
        <f>IF(H2237&gt;30,QUOTIENT(H2237,30)*VLOOKUP(D2237,'报价表-配送'!$B$61:$I$65,8,0),0)+IF(AND(MOD(H2237,30)&gt;18,MOD(H2237,30)&lt;=30),1,0)*VLOOKUP(D2237,'报价表-配送'!$B$61:$I$65,8,0)+IF(AND(MOD(H2237,30)&gt;8,MOD(H2237,30)&lt;=18),1*VLOOKUP(D2237,'报价表-配送'!$B$61:$I$65,7,0),0)+IF(AND(MOD(H2237,30)&lt;=8,MOD(H2237,30)&gt;2.5),1,0)*VLOOKUP(D2237,'报价表-配送'!$B$61:$I$65,6,0)+IF(AND(MOD(H2237,30)&lt;=2.5,MOD(H2237,30)&gt;=1.5),1,0)*VLOOKUP(D2237,'报价表-配送'!$B$61:$I$65,5,0)</f>
        <v>0</v>
      </c>
      <c r="M2237" s="39">
        <f>IF(AND(MOD(H2237,30)&lt;1.5,MOD(H2237,30)&gt;=0.5),H2237,0)*VLOOKUP(D2237,'报价表-配送'!$B$61:$I$65,4,0)*1000+IF(AND(MOD(H2237,30)&lt;0.5,MOD(H2237,30)&gt;=0.02),H2237,0)*VLOOKUP(D2237,'报价表-配送'!$B$61:$I$65,3,0)*1000+IF(AND(MOD(H2237,30)&lt;0.02),H2237,0)*VLOOKUP(D2237,'报价表-配送'!$B$61:$I$65,2,0)*1000</f>
        <v>0</v>
      </c>
      <c r="N2237" s="38">
        <f t="shared" si="34"/>
        <v>0</v>
      </c>
    </row>
    <row r="2238" spans="1:14" x14ac:dyDescent="0.25">
      <c r="A2238" s="37" t="s">
        <v>241</v>
      </c>
      <c r="B2238" s="43" t="s">
        <v>175</v>
      </c>
      <c r="C2238" s="62">
        <f>VLOOKUP(B2238,合并仓明细!$D$2:$F$74,3,0)</f>
        <v>68</v>
      </c>
      <c r="D2238" t="s">
        <v>393</v>
      </c>
      <c r="E2238" s="54" t="s">
        <v>361</v>
      </c>
      <c r="F2238" s="53" t="s">
        <v>68</v>
      </c>
      <c r="G2238">
        <v>188.57</v>
      </c>
      <c r="H2238">
        <v>11.280329999999999</v>
      </c>
      <c r="I2238" s="46">
        <f>ROUNDUP(H2238/30,0)*VLOOKUP(D2238,'报价表-配送'!$B$61:$I$65,8,0)</f>
        <v>0</v>
      </c>
      <c r="J2238" s="38"/>
      <c r="K2238" s="38"/>
      <c r="L2238" s="37"/>
      <c r="M2238" s="39"/>
      <c r="N2238" s="38">
        <f t="shared" si="34"/>
        <v>0</v>
      </c>
    </row>
    <row r="2239" spans="1:14" x14ac:dyDescent="0.25">
      <c r="A2239" s="37" t="s">
        <v>241</v>
      </c>
      <c r="B2239" s="43" t="s">
        <v>175</v>
      </c>
      <c r="C2239" s="62">
        <f>VLOOKUP(B2239,合并仓明细!$D$2:$F$74,3,0)</f>
        <v>68</v>
      </c>
      <c r="D2239" t="s">
        <v>393</v>
      </c>
      <c r="E2239" s="54" t="s">
        <v>361</v>
      </c>
      <c r="F2239" s="53" t="s">
        <v>67</v>
      </c>
      <c r="G2239">
        <v>11035.4</v>
      </c>
      <c r="H2239"/>
      <c r="N2239" s="38">
        <f t="shared" si="34"/>
        <v>0</v>
      </c>
    </row>
    <row r="2240" spans="1:14" x14ac:dyDescent="0.25">
      <c r="A2240" s="37" t="s">
        <v>241</v>
      </c>
      <c r="B2240" s="43" t="s">
        <v>175</v>
      </c>
      <c r="C2240" s="62">
        <f>VLOOKUP(B2240,合并仓明细!$D$2:$F$74,3,0)</f>
        <v>68</v>
      </c>
      <c r="D2240" t="s">
        <v>393</v>
      </c>
      <c r="E2240" s="54" t="s">
        <v>361</v>
      </c>
      <c r="F2240" s="53" t="s">
        <v>66</v>
      </c>
      <c r="G2240">
        <v>56.36</v>
      </c>
      <c r="H2240"/>
      <c r="L2240" s="37"/>
      <c r="M2240" s="39"/>
      <c r="N2240" s="38">
        <f t="shared" si="34"/>
        <v>0</v>
      </c>
    </row>
    <row r="2241" spans="1:14" x14ac:dyDescent="0.25">
      <c r="A2241" s="37" t="s">
        <v>241</v>
      </c>
      <c r="B2241" s="43" t="s">
        <v>175</v>
      </c>
      <c r="C2241" s="62">
        <f>VLOOKUP(B2241,合并仓明细!$D$2:$F$74,3,0)</f>
        <v>68</v>
      </c>
      <c r="D2241" t="s">
        <v>393</v>
      </c>
      <c r="E2241" s="54" t="s">
        <v>279</v>
      </c>
      <c r="F2241" s="53" t="s">
        <v>66</v>
      </c>
      <c r="G2241">
        <v>68.140000000000015</v>
      </c>
      <c r="H2241">
        <v>6.814000000000002E-2</v>
      </c>
      <c r="I2241" s="38"/>
      <c r="J2241" s="38"/>
      <c r="K2241" s="38"/>
      <c r="L2241" s="37">
        <f>IF(H2241&gt;30,QUOTIENT(H2241,30)*VLOOKUP(D2241,'报价表-配送'!$B$61:$I$65,8,0),0)+IF(AND(MOD(H2241,30)&gt;18,MOD(H2241,30)&lt;=30),1,0)*VLOOKUP(D2241,'报价表-配送'!$B$61:$I$65,8,0)+IF(AND(MOD(H2241,30)&gt;8,MOD(H2241,30)&lt;=18),1*VLOOKUP(D2241,'报价表-配送'!$B$61:$I$65,7,0),0)+IF(AND(MOD(H2241,30)&lt;=8,MOD(H2241,30)&gt;2.5),1,0)*VLOOKUP(D2241,'报价表-配送'!$B$61:$I$65,6,0)+IF(AND(MOD(H2241,30)&lt;=2.5,MOD(H2241,30)&gt;=1.5),1,0)*VLOOKUP(D2241,'报价表-配送'!$B$61:$I$65,5,0)</f>
        <v>0</v>
      </c>
      <c r="M2241" s="39">
        <f>IF(AND(MOD(H2241,30)&lt;1.5,MOD(H2241,30)&gt;=0.5),H2241,0)*VLOOKUP(D2241,'报价表-配送'!$B$61:$I$65,4,0)*1000+IF(AND(MOD(H2241,30)&lt;0.5,MOD(H2241,30)&gt;=0.02),H2241,0)*VLOOKUP(D2241,'报价表-配送'!$B$61:$I$65,3,0)*1000+IF(AND(MOD(H2241,30)&lt;0.02),H2241,0)*VLOOKUP(D2241,'报价表-配送'!$B$61:$I$65,2,0)*1000</f>
        <v>0</v>
      </c>
      <c r="N2241" s="38">
        <f t="shared" si="34"/>
        <v>0</v>
      </c>
    </row>
    <row r="2242" spans="1:14" x14ac:dyDescent="0.25">
      <c r="A2242" s="37" t="s">
        <v>241</v>
      </c>
      <c r="B2242" s="45" t="s">
        <v>175</v>
      </c>
      <c r="C2242" s="62">
        <f>VLOOKUP(B2242,合并仓明细!$D$2:$F$74,3,0)</f>
        <v>68</v>
      </c>
      <c r="D2242" t="s">
        <v>393</v>
      </c>
      <c r="E2242" s="54" t="s">
        <v>347</v>
      </c>
      <c r="F2242" s="53" t="s">
        <v>68</v>
      </c>
      <c r="G2242">
        <v>436.04999999999995</v>
      </c>
      <c r="H2242">
        <v>2.0552899999999998</v>
      </c>
      <c r="I2242" s="46">
        <f>ROUNDUP(H2242/30,0)*VLOOKUP(D2242,'报价表-配送'!$B$61:$I$65,8,0)</f>
        <v>0</v>
      </c>
      <c r="L2242" s="37"/>
      <c r="M2242" s="39"/>
      <c r="N2242" s="38">
        <f t="shared" si="34"/>
        <v>0</v>
      </c>
    </row>
    <row r="2243" spans="1:14" x14ac:dyDescent="0.25">
      <c r="A2243" s="37" t="s">
        <v>241</v>
      </c>
      <c r="B2243" s="55" t="s">
        <v>175</v>
      </c>
      <c r="C2243" s="62">
        <f>VLOOKUP(B2243,合并仓明细!$D$2:$F$74,3,0)</f>
        <v>68</v>
      </c>
      <c r="D2243" t="s">
        <v>393</v>
      </c>
      <c r="E2243" s="54" t="s">
        <v>347</v>
      </c>
      <c r="F2243" s="53" t="s">
        <v>67</v>
      </c>
      <c r="G2243">
        <v>833.01</v>
      </c>
      <c r="H2243"/>
      <c r="L2243" s="37"/>
      <c r="M2243" s="39"/>
      <c r="N2243" s="38">
        <f t="shared" si="34"/>
        <v>0</v>
      </c>
    </row>
    <row r="2244" spans="1:14" x14ac:dyDescent="0.25">
      <c r="A2244" s="37" t="s">
        <v>241</v>
      </c>
      <c r="B2244" s="43" t="s">
        <v>175</v>
      </c>
      <c r="C2244" s="62">
        <f>VLOOKUP(B2244,合并仓明细!$D$2:$F$74,3,0)</f>
        <v>68</v>
      </c>
      <c r="D2244" t="s">
        <v>393</v>
      </c>
      <c r="E2244" s="54" t="s">
        <v>347</v>
      </c>
      <c r="F2244" s="53" t="s">
        <v>66</v>
      </c>
      <c r="G2244">
        <v>786.2299999999999</v>
      </c>
      <c r="H2244"/>
      <c r="L2244" s="37"/>
      <c r="M2244" s="39"/>
      <c r="N2244" s="38">
        <f t="shared" si="34"/>
        <v>0</v>
      </c>
    </row>
    <row r="2245" spans="1:14" x14ac:dyDescent="0.25">
      <c r="A2245" s="37" t="s">
        <v>241</v>
      </c>
      <c r="B2245" s="43" t="s">
        <v>175</v>
      </c>
      <c r="C2245" s="62">
        <f>VLOOKUP(B2245,合并仓明细!$D$2:$F$74,3,0)</f>
        <v>68</v>
      </c>
      <c r="D2245" t="s">
        <v>393</v>
      </c>
      <c r="E2245" s="54" t="s">
        <v>352</v>
      </c>
      <c r="F2245" s="53" t="s">
        <v>67</v>
      </c>
      <c r="G2245">
        <v>3436.4700000000003</v>
      </c>
      <c r="H2245">
        <v>3.8167300000000006</v>
      </c>
      <c r="I2245" s="38">
        <f>IF(H2245&gt;30,QUOTIENT(H2245,30)*VLOOKUP(D2245,'报价表-配送'!$B$61:$I$65,8,0),0)+IF(AND(MOD(H2245,30)&gt;18,MOD(H2245,30)&lt;=30),1,0)*VLOOKUP(D2245,'报价表-配送'!$B$61:$I$65,8,0)</f>
        <v>0</v>
      </c>
      <c r="J2245" s="38">
        <f>IF(AND(MOD(H2245,30)&gt;8,MOD(H2245,30)&lt;=18),1*VLOOKUP(D2245,'报价表-配送'!$B$61:$I$65,7,0),0)</f>
        <v>0</v>
      </c>
      <c r="K2245" s="38">
        <f>IF(AND(MOD(H2245,30)&lt;=8,MOD(H2245,30)&gt;0),1,0)*VLOOKUP(D2245,'报价表-配送'!$B$61:$I$65,6,0)</f>
        <v>0</v>
      </c>
      <c r="L2245" s="37"/>
      <c r="M2245" s="39"/>
      <c r="N2245" s="38">
        <f t="shared" si="34"/>
        <v>0</v>
      </c>
    </row>
    <row r="2246" spans="1:14" x14ac:dyDescent="0.25">
      <c r="A2246" s="37" t="s">
        <v>241</v>
      </c>
      <c r="B2246" s="43" t="s">
        <v>175</v>
      </c>
      <c r="C2246" s="62">
        <f>VLOOKUP(B2246,合并仓明细!$D$2:$F$74,3,0)</f>
        <v>68</v>
      </c>
      <c r="D2246" t="s">
        <v>393</v>
      </c>
      <c r="E2246" s="54" t="s">
        <v>352</v>
      </c>
      <c r="F2246" s="53" t="s">
        <v>66</v>
      </c>
      <c r="G2246">
        <v>380.26</v>
      </c>
      <c r="H2246"/>
      <c r="L2246" s="37"/>
      <c r="M2246" s="39"/>
      <c r="N2246" s="38">
        <f t="shared" si="34"/>
        <v>0</v>
      </c>
    </row>
    <row r="2247" spans="1:14" x14ac:dyDescent="0.25">
      <c r="A2247" s="37" t="s">
        <v>241</v>
      </c>
      <c r="B2247" s="55" t="s">
        <v>175</v>
      </c>
      <c r="C2247" s="62">
        <f>VLOOKUP(B2247,合并仓明细!$D$2:$F$74,3,0)</f>
        <v>68</v>
      </c>
      <c r="D2247" t="s">
        <v>393</v>
      </c>
      <c r="E2247" s="54" t="s">
        <v>312</v>
      </c>
      <c r="F2247" s="53" t="s">
        <v>68</v>
      </c>
      <c r="G2247">
        <v>2981.6200000000003</v>
      </c>
      <c r="H2247">
        <v>4.6333799999999998</v>
      </c>
      <c r="I2247" s="46">
        <f>ROUNDUP(H2247/30,0)*VLOOKUP(D2247,'报价表-配送'!$B$61:$I$65,8,0)</f>
        <v>0</v>
      </c>
      <c r="J2247" s="38"/>
      <c r="K2247" s="38"/>
      <c r="L2247" s="37"/>
      <c r="M2247" s="37"/>
      <c r="N2247" s="38">
        <f t="shared" si="34"/>
        <v>0</v>
      </c>
    </row>
    <row r="2248" spans="1:14" x14ac:dyDescent="0.25">
      <c r="A2248" s="37" t="s">
        <v>241</v>
      </c>
      <c r="B2248" s="43" t="s">
        <v>175</v>
      </c>
      <c r="C2248" s="62">
        <f>VLOOKUP(B2248,合并仓明细!$D$2:$F$74,3,0)</f>
        <v>68</v>
      </c>
      <c r="D2248" t="s">
        <v>393</v>
      </c>
      <c r="E2248" s="54" t="s">
        <v>312</v>
      </c>
      <c r="F2248" s="53" t="s">
        <v>67</v>
      </c>
      <c r="G2248">
        <v>1469.15</v>
      </c>
      <c r="H2248"/>
      <c r="N2248" s="38">
        <f t="shared" si="34"/>
        <v>0</v>
      </c>
    </row>
    <row r="2249" spans="1:14" x14ac:dyDescent="0.25">
      <c r="A2249" s="37" t="s">
        <v>241</v>
      </c>
      <c r="B2249" s="43" t="s">
        <v>175</v>
      </c>
      <c r="C2249" s="62">
        <f>VLOOKUP(B2249,合并仓明细!$D$2:$F$74,3,0)</f>
        <v>68</v>
      </c>
      <c r="D2249" t="s">
        <v>393</v>
      </c>
      <c r="E2249" s="54" t="s">
        <v>312</v>
      </c>
      <c r="F2249" s="53" t="s">
        <v>66</v>
      </c>
      <c r="G2249">
        <v>182.61</v>
      </c>
      <c r="H2249"/>
      <c r="L2249" s="37"/>
      <c r="M2249" s="39"/>
      <c r="N2249" s="38">
        <f t="shared" si="34"/>
        <v>0</v>
      </c>
    </row>
    <row r="2250" spans="1:14" x14ac:dyDescent="0.25">
      <c r="A2250" s="37" t="s">
        <v>241</v>
      </c>
      <c r="B2250" s="43" t="s">
        <v>175</v>
      </c>
      <c r="C2250" s="62">
        <f>VLOOKUP(B2250,合并仓明细!$D$2:$F$74,3,0)</f>
        <v>68</v>
      </c>
      <c r="D2250" t="s">
        <v>393</v>
      </c>
      <c r="E2250" s="54" t="s">
        <v>383</v>
      </c>
      <c r="F2250" s="53" t="s">
        <v>66</v>
      </c>
      <c r="G2250">
        <v>1.95</v>
      </c>
      <c r="H2250">
        <v>1.9499999999999999E-3</v>
      </c>
      <c r="I2250" s="38"/>
      <c r="J2250" s="38"/>
      <c r="K2250" s="38"/>
      <c r="L2250" s="37">
        <f>IF(H2250&gt;30,QUOTIENT(H2250,30)*VLOOKUP(D2250,'报价表-配送'!$B$61:$I$65,8,0),0)+IF(AND(MOD(H2250,30)&gt;18,MOD(H2250,30)&lt;=30),1,0)*VLOOKUP(D2250,'报价表-配送'!$B$61:$I$65,8,0)+IF(AND(MOD(H2250,30)&gt;8,MOD(H2250,30)&lt;=18),1*VLOOKUP(D2250,'报价表-配送'!$B$61:$I$65,7,0),0)+IF(AND(MOD(H2250,30)&lt;=8,MOD(H2250,30)&gt;2.5),1,0)*VLOOKUP(D2250,'报价表-配送'!$B$61:$I$65,6,0)+IF(AND(MOD(H2250,30)&lt;=2.5,MOD(H2250,30)&gt;=1.5),1,0)*VLOOKUP(D2250,'报价表-配送'!$B$61:$I$65,5,0)</f>
        <v>0</v>
      </c>
      <c r="M2250" s="39">
        <f>IF(AND(MOD(H2250,30)&lt;1.5,MOD(H2250,30)&gt;=0.5),H2250,0)*VLOOKUP(D2250,'报价表-配送'!$B$61:$I$65,4,0)*1000+IF(AND(MOD(H2250,30)&lt;0.5,MOD(H2250,30)&gt;=0.02),H2250,0)*VLOOKUP(D2250,'报价表-配送'!$B$61:$I$65,3,0)*1000+IF(AND(MOD(H2250,30)&lt;0.02),H2250,0)*VLOOKUP(D2250,'报价表-配送'!$B$61:$I$65,2,0)*1000</f>
        <v>0</v>
      </c>
      <c r="N2250" s="38">
        <f t="shared" si="34"/>
        <v>0</v>
      </c>
    </row>
    <row r="2251" spans="1:14" x14ac:dyDescent="0.25">
      <c r="A2251" s="37" t="s">
        <v>241</v>
      </c>
      <c r="B2251" s="43" t="s">
        <v>175</v>
      </c>
      <c r="C2251" s="62">
        <f>VLOOKUP(B2251,合并仓明细!$D$2:$F$74,3,0)</f>
        <v>68</v>
      </c>
      <c r="D2251" t="s">
        <v>393</v>
      </c>
      <c r="E2251" s="54" t="s">
        <v>338</v>
      </c>
      <c r="F2251" s="53" t="s">
        <v>68</v>
      </c>
      <c r="G2251">
        <v>986.59999999999991</v>
      </c>
      <c r="H2251">
        <v>1.6383599999999996</v>
      </c>
      <c r="I2251" s="46">
        <f>ROUNDUP(H2251/30,0)*VLOOKUP(D2251,'报价表-配送'!$B$61:$I$65,8,0)</f>
        <v>0</v>
      </c>
      <c r="N2251" s="38">
        <f t="shared" si="34"/>
        <v>0</v>
      </c>
    </row>
    <row r="2252" spans="1:14" x14ac:dyDescent="0.25">
      <c r="A2252" s="37" t="s">
        <v>241</v>
      </c>
      <c r="B2252" s="43" t="s">
        <v>175</v>
      </c>
      <c r="C2252" s="62">
        <f>VLOOKUP(B2252,合并仓明细!$D$2:$F$74,3,0)</f>
        <v>68</v>
      </c>
      <c r="D2252" t="s">
        <v>393</v>
      </c>
      <c r="E2252" s="54" t="s">
        <v>338</v>
      </c>
      <c r="F2252" s="53" t="s">
        <v>66</v>
      </c>
      <c r="G2252">
        <v>651.75999999999988</v>
      </c>
      <c r="H2252"/>
      <c r="L2252" s="37"/>
      <c r="M2252" s="39"/>
      <c r="N2252" s="38">
        <f t="shared" si="34"/>
        <v>0</v>
      </c>
    </row>
    <row r="2253" spans="1:14" x14ac:dyDescent="0.25">
      <c r="A2253" s="37" t="s">
        <v>241</v>
      </c>
      <c r="B2253" s="43" t="s">
        <v>175</v>
      </c>
      <c r="C2253" s="62">
        <f>VLOOKUP(B2253,合并仓明细!$D$2:$F$74,3,0)</f>
        <v>68</v>
      </c>
      <c r="D2253" t="s">
        <v>393</v>
      </c>
      <c r="E2253" s="54" t="s">
        <v>282</v>
      </c>
      <c r="F2253" s="53" t="s">
        <v>67</v>
      </c>
      <c r="G2253">
        <v>4561.97</v>
      </c>
      <c r="H2253">
        <v>4.7441100000000009</v>
      </c>
      <c r="I2253" s="38">
        <f>IF(H2253&gt;30,QUOTIENT(H2253,30)*VLOOKUP(D2253,'报价表-配送'!$B$61:$I$65,8,0),0)+IF(AND(MOD(H2253,30)&gt;18,MOD(H2253,30)&lt;=30),1,0)*VLOOKUP(D2253,'报价表-配送'!$B$61:$I$65,8,0)</f>
        <v>0</v>
      </c>
      <c r="J2253" s="38">
        <f>IF(AND(MOD(H2253,30)&gt;8,MOD(H2253,30)&lt;=18),1*VLOOKUP(D2253,'报价表-配送'!$B$61:$I$65,7,0),0)</f>
        <v>0</v>
      </c>
      <c r="K2253" s="38">
        <f>IF(AND(MOD(H2253,30)&lt;=8,MOD(H2253,30)&gt;0),1,0)*VLOOKUP(D2253,'报价表-配送'!$B$61:$I$65,6,0)</f>
        <v>0</v>
      </c>
      <c r="L2253" s="37"/>
      <c r="M2253" s="37"/>
      <c r="N2253" s="38">
        <f t="shared" si="34"/>
        <v>0</v>
      </c>
    </row>
    <row r="2254" spans="1:14" x14ac:dyDescent="0.25">
      <c r="A2254" s="37" t="s">
        <v>241</v>
      </c>
      <c r="B2254" s="43" t="s">
        <v>175</v>
      </c>
      <c r="C2254" s="62">
        <f>VLOOKUP(B2254,合并仓明细!$D$2:$F$74,3,0)</f>
        <v>68</v>
      </c>
      <c r="D2254" t="s">
        <v>393</v>
      </c>
      <c r="E2254" s="54" t="s">
        <v>282</v>
      </c>
      <c r="F2254" s="53" t="s">
        <v>66</v>
      </c>
      <c r="G2254">
        <v>182.14</v>
      </c>
      <c r="H2254"/>
      <c r="N2254" s="38">
        <f t="shared" si="34"/>
        <v>0</v>
      </c>
    </row>
    <row r="2255" spans="1:14" x14ac:dyDescent="0.25">
      <c r="A2255" s="37" t="s">
        <v>241</v>
      </c>
      <c r="B2255" s="43" t="s">
        <v>175</v>
      </c>
      <c r="C2255" s="62">
        <f>VLOOKUP(B2255,合并仓明细!$D$2:$F$74,3,0)</f>
        <v>68</v>
      </c>
      <c r="D2255" t="s">
        <v>393</v>
      </c>
      <c r="E2255" s="54" t="s">
        <v>339</v>
      </c>
      <c r="F2255" s="53" t="s">
        <v>67</v>
      </c>
      <c r="G2255">
        <v>1890.29</v>
      </c>
      <c r="H2255">
        <v>1.89029</v>
      </c>
      <c r="I2255" s="38">
        <f>IF(H2255&gt;30,QUOTIENT(H2255,30)*VLOOKUP(D2255,'报价表-配送'!$B$61:$I$65,8,0),0)+IF(AND(MOD(H2255,30)&gt;18,MOD(H2255,30)&lt;=30),1,0)*VLOOKUP(D2255,'报价表-配送'!$B$61:$I$65,8,0)</f>
        <v>0</v>
      </c>
      <c r="J2255" s="38">
        <f>IF(AND(MOD(H2255,30)&gt;8,MOD(H2255,30)&lt;=18),1*VLOOKUP(D2255,'报价表-配送'!$B$61:$I$65,7,0),0)</f>
        <v>0</v>
      </c>
      <c r="K2255" s="38">
        <f>IF(AND(MOD(H2255,30)&lt;=8,MOD(H2255,30)&gt;0),1,0)*VLOOKUP(D2255,'报价表-配送'!$B$61:$I$65,6,0)</f>
        <v>0</v>
      </c>
      <c r="L2255" s="37"/>
      <c r="M2255" s="39"/>
      <c r="N2255" s="38">
        <f t="shared" si="34"/>
        <v>0</v>
      </c>
    </row>
    <row r="2256" spans="1:14" x14ac:dyDescent="0.25">
      <c r="A2256" s="37" t="s">
        <v>241</v>
      </c>
      <c r="B2256" s="43" t="s">
        <v>175</v>
      </c>
      <c r="C2256" s="62">
        <f>VLOOKUP(B2256,合并仓明细!$D$2:$F$74,3,0)</f>
        <v>68</v>
      </c>
      <c r="D2256" t="s">
        <v>393</v>
      </c>
      <c r="E2256" s="54" t="s">
        <v>323</v>
      </c>
      <c r="F2256" s="53" t="s">
        <v>68</v>
      </c>
      <c r="G2256">
        <v>4463.7299999999996</v>
      </c>
      <c r="H2256">
        <v>15.43657</v>
      </c>
      <c r="I2256" s="46">
        <f>ROUNDUP(H2256/30,0)*VLOOKUP(D2256,'报价表-配送'!$B$61:$I$65,8,0)</f>
        <v>0</v>
      </c>
      <c r="L2256" s="37"/>
      <c r="M2256" s="39"/>
      <c r="N2256" s="38">
        <f t="shared" si="34"/>
        <v>0</v>
      </c>
    </row>
    <row r="2257" spans="1:14" x14ac:dyDescent="0.25">
      <c r="A2257" s="37" t="s">
        <v>241</v>
      </c>
      <c r="B2257" s="43" t="s">
        <v>175</v>
      </c>
      <c r="C2257" s="62">
        <f>VLOOKUP(B2257,合并仓明细!$D$2:$F$74,3,0)</f>
        <v>68</v>
      </c>
      <c r="D2257" t="s">
        <v>393</v>
      </c>
      <c r="E2257" s="54" t="s">
        <v>323</v>
      </c>
      <c r="F2257" s="53" t="s">
        <v>67</v>
      </c>
      <c r="G2257">
        <v>10082.9</v>
      </c>
      <c r="H2257"/>
      <c r="L2257" s="37"/>
      <c r="M2257" s="39"/>
      <c r="N2257" s="38">
        <f t="shared" si="34"/>
        <v>0</v>
      </c>
    </row>
    <row r="2258" spans="1:14" x14ac:dyDescent="0.25">
      <c r="A2258" s="37" t="s">
        <v>241</v>
      </c>
      <c r="B2258" s="43" t="s">
        <v>175</v>
      </c>
      <c r="C2258" s="62">
        <f>VLOOKUP(B2258,合并仓明细!$D$2:$F$74,3,0)</f>
        <v>68</v>
      </c>
      <c r="D2258" t="s">
        <v>393</v>
      </c>
      <c r="E2258" s="54" t="s">
        <v>323</v>
      </c>
      <c r="F2258" s="53" t="s">
        <v>66</v>
      </c>
      <c r="G2258">
        <v>889.93999999999994</v>
      </c>
      <c r="H2258"/>
      <c r="L2258" s="37"/>
      <c r="M2258" s="39"/>
      <c r="N2258" s="38">
        <f t="shared" si="34"/>
        <v>0</v>
      </c>
    </row>
    <row r="2259" spans="1:14" x14ac:dyDescent="0.25">
      <c r="A2259" s="37" t="s">
        <v>241</v>
      </c>
      <c r="B2259" s="43" t="s">
        <v>175</v>
      </c>
      <c r="C2259" s="62">
        <f>VLOOKUP(B2259,合并仓明细!$D$2:$F$74,3,0)</f>
        <v>68</v>
      </c>
      <c r="D2259" t="s">
        <v>393</v>
      </c>
      <c r="E2259" s="54" t="s">
        <v>384</v>
      </c>
      <c r="F2259" s="53" t="s">
        <v>66</v>
      </c>
      <c r="G2259">
        <v>27.57</v>
      </c>
      <c r="H2259">
        <v>2.7570000000000001E-2</v>
      </c>
      <c r="I2259" s="46"/>
      <c r="J2259" s="38"/>
      <c r="K2259" s="38"/>
      <c r="L2259" s="37">
        <f>IF(H2259&gt;30,QUOTIENT(H2259,30)*VLOOKUP(D2259,'报价表-配送'!$B$61:$I$65,8,0),0)+IF(AND(MOD(H2259,30)&gt;18,MOD(H2259,30)&lt;=30),1,0)*VLOOKUP(D2259,'报价表-配送'!$B$61:$I$65,8,0)+IF(AND(MOD(H2259,30)&gt;8,MOD(H2259,30)&lt;=18),1*VLOOKUP(D2259,'报价表-配送'!$B$61:$I$65,7,0),0)+IF(AND(MOD(H2259,30)&lt;=8,MOD(H2259,30)&gt;2.5),1,0)*VLOOKUP(D2259,'报价表-配送'!$B$61:$I$65,6,0)+IF(AND(MOD(H2259,30)&lt;=2.5,MOD(H2259,30)&gt;=1.5),1,0)*VLOOKUP(D2259,'报价表-配送'!$B$61:$I$65,5,0)</f>
        <v>0</v>
      </c>
      <c r="M2259" s="39">
        <f>IF(AND(MOD(H2259,30)&lt;1.5,MOD(H2259,30)&gt;=0.5),H2259,0)*VLOOKUP(D2259,'报价表-配送'!$B$61:$I$65,4,0)*1000+IF(AND(MOD(H2259,30)&lt;0.5,MOD(H2259,30)&gt;=0.02),H2259,0)*VLOOKUP(D2259,'报价表-配送'!$B$61:$I$65,3,0)*1000+IF(AND(MOD(H2259,30)&lt;0.02),H2259,0)*VLOOKUP(D2259,'报价表-配送'!$B$61:$I$65,2,0)*1000</f>
        <v>0</v>
      </c>
      <c r="N2259" s="38">
        <f t="shared" si="34"/>
        <v>0</v>
      </c>
    </row>
    <row r="2260" spans="1:14" x14ac:dyDescent="0.25">
      <c r="A2260" s="37" t="s">
        <v>241</v>
      </c>
      <c r="B2260" s="43" t="s">
        <v>175</v>
      </c>
      <c r="C2260" s="62">
        <f>VLOOKUP(B2260,合并仓明细!$D$2:$F$74,3,0)</f>
        <v>68</v>
      </c>
      <c r="D2260" t="s">
        <v>393</v>
      </c>
      <c r="E2260" s="54" t="s">
        <v>313</v>
      </c>
      <c r="F2260" s="53" t="s">
        <v>67</v>
      </c>
      <c r="G2260">
        <v>672.82</v>
      </c>
      <c r="H2260">
        <v>0.87157000000000007</v>
      </c>
      <c r="I2260" s="38">
        <f>IF(H2260&gt;30,QUOTIENT(H2260,30)*VLOOKUP(D2260,'报价表-配送'!$B$61:$I$65,8,0),0)+IF(AND(MOD(H2260,30)&gt;18,MOD(H2260,30)&lt;=30),1,0)*VLOOKUP(D2260,'报价表-配送'!$B$61:$I$65,8,0)</f>
        <v>0</v>
      </c>
      <c r="J2260" s="38">
        <f>IF(AND(MOD(H2260,30)&gt;8,MOD(H2260,30)&lt;=18),1*VLOOKUP(D2260,'报价表-配送'!$B$61:$I$65,7,0),0)</f>
        <v>0</v>
      </c>
      <c r="K2260" s="38">
        <f>IF(AND(MOD(H2260,30)&lt;=8,MOD(H2260,30)&gt;0),1,0)*VLOOKUP(D2260,'报价表-配送'!$B$61:$I$65,6,0)</f>
        <v>0</v>
      </c>
      <c r="N2260" s="38">
        <f t="shared" si="34"/>
        <v>0</v>
      </c>
    </row>
    <row r="2261" spans="1:14" x14ac:dyDescent="0.25">
      <c r="A2261" s="37" t="s">
        <v>241</v>
      </c>
      <c r="B2261" s="43" t="s">
        <v>175</v>
      </c>
      <c r="C2261" s="62">
        <f>VLOOKUP(B2261,合并仓明细!$D$2:$F$74,3,0)</f>
        <v>68</v>
      </c>
      <c r="D2261" t="s">
        <v>393</v>
      </c>
      <c r="E2261" s="54" t="s">
        <v>313</v>
      </c>
      <c r="F2261" s="53" t="s">
        <v>66</v>
      </c>
      <c r="G2261">
        <v>198.75</v>
      </c>
      <c r="H2261"/>
      <c r="N2261" s="38">
        <f t="shared" si="34"/>
        <v>0</v>
      </c>
    </row>
    <row r="2262" spans="1:14" x14ac:dyDescent="0.25">
      <c r="A2262" s="37" t="s">
        <v>241</v>
      </c>
      <c r="B2262" s="43" t="s">
        <v>175</v>
      </c>
      <c r="C2262" s="62">
        <f>VLOOKUP(B2262,合并仓明细!$D$2:$F$74,3,0)</f>
        <v>68</v>
      </c>
      <c r="D2262" t="s">
        <v>393</v>
      </c>
      <c r="E2262" s="54" t="s">
        <v>285</v>
      </c>
      <c r="F2262" s="53" t="s">
        <v>68</v>
      </c>
      <c r="G2262">
        <v>1065.0700000000002</v>
      </c>
      <c r="H2262">
        <v>3.355859999999999</v>
      </c>
      <c r="I2262" s="46">
        <f>ROUNDUP(H2262/30,0)*VLOOKUP(D2262,'报价表-配送'!$B$61:$I$65,8,0)</f>
        <v>0</v>
      </c>
      <c r="N2262" s="38">
        <f t="shared" si="34"/>
        <v>0</v>
      </c>
    </row>
    <row r="2263" spans="1:14" x14ac:dyDescent="0.25">
      <c r="A2263" s="37" t="s">
        <v>241</v>
      </c>
      <c r="B2263" s="43" t="s">
        <v>175</v>
      </c>
      <c r="C2263" s="62">
        <f>VLOOKUP(B2263,合并仓明细!$D$2:$F$74,3,0)</f>
        <v>68</v>
      </c>
      <c r="D2263" t="s">
        <v>393</v>
      </c>
      <c r="E2263" s="54" t="s">
        <v>285</v>
      </c>
      <c r="F2263" s="53" t="s">
        <v>67</v>
      </c>
      <c r="G2263">
        <v>101.85999999999999</v>
      </c>
      <c r="H2263"/>
      <c r="L2263" s="37"/>
      <c r="M2263" s="39"/>
      <c r="N2263" s="38">
        <f t="shared" si="34"/>
        <v>0</v>
      </c>
    </row>
    <row r="2264" spans="1:14" x14ac:dyDescent="0.25">
      <c r="A2264" s="37" t="s">
        <v>241</v>
      </c>
      <c r="B2264" s="43" t="s">
        <v>175</v>
      </c>
      <c r="C2264" s="62">
        <f>VLOOKUP(B2264,合并仓明细!$D$2:$F$74,3,0)</f>
        <v>68</v>
      </c>
      <c r="D2264" t="s">
        <v>393</v>
      </c>
      <c r="E2264" s="54" t="s">
        <v>285</v>
      </c>
      <c r="F2264" s="53" t="s">
        <v>66</v>
      </c>
      <c r="G2264">
        <v>2188.9299999999985</v>
      </c>
      <c r="H2264"/>
      <c r="L2264" s="37"/>
      <c r="M2264" s="39"/>
      <c r="N2264" s="38">
        <f t="shared" si="34"/>
        <v>0</v>
      </c>
    </row>
    <row r="2265" spans="1:14" x14ac:dyDescent="0.25">
      <c r="A2265" s="37" t="s">
        <v>241</v>
      </c>
      <c r="B2265" s="43" t="s">
        <v>175</v>
      </c>
      <c r="C2265" s="62">
        <f>VLOOKUP(B2265,合并仓明细!$D$2:$F$74,3,0)</f>
        <v>68</v>
      </c>
      <c r="D2265" t="s">
        <v>393</v>
      </c>
      <c r="E2265" s="54" t="s">
        <v>329</v>
      </c>
      <c r="F2265" s="53" t="s">
        <v>68</v>
      </c>
      <c r="G2265">
        <v>16.170000000000002</v>
      </c>
      <c r="H2265">
        <v>2.2351700000000001</v>
      </c>
      <c r="I2265" s="46">
        <f>ROUNDUP(H2265/30,0)*VLOOKUP(D2265,'报价表-配送'!$B$61:$I$65,8,0)</f>
        <v>0</v>
      </c>
      <c r="L2265" s="37"/>
      <c r="M2265" s="39"/>
      <c r="N2265" s="38">
        <f t="shared" si="34"/>
        <v>0</v>
      </c>
    </row>
    <row r="2266" spans="1:14" x14ac:dyDescent="0.25">
      <c r="A2266" s="37" t="s">
        <v>241</v>
      </c>
      <c r="B2266" s="43" t="s">
        <v>175</v>
      </c>
      <c r="C2266" s="62">
        <f>VLOOKUP(B2266,合并仓明细!$D$2:$F$74,3,0)</f>
        <v>68</v>
      </c>
      <c r="D2266" t="s">
        <v>393</v>
      </c>
      <c r="E2266" s="54" t="s">
        <v>329</v>
      </c>
      <c r="F2266" s="53" t="s">
        <v>67</v>
      </c>
      <c r="G2266">
        <v>1514.1999999999998</v>
      </c>
      <c r="H2266"/>
      <c r="L2266" s="37"/>
      <c r="M2266" s="39"/>
      <c r="N2266" s="38">
        <f t="shared" si="34"/>
        <v>0</v>
      </c>
    </row>
    <row r="2267" spans="1:14" x14ac:dyDescent="0.25">
      <c r="A2267" s="37" t="s">
        <v>241</v>
      </c>
      <c r="B2267" s="43" t="s">
        <v>175</v>
      </c>
      <c r="C2267" s="62">
        <f>VLOOKUP(B2267,合并仓明细!$D$2:$F$74,3,0)</f>
        <v>68</v>
      </c>
      <c r="D2267" t="s">
        <v>393</v>
      </c>
      <c r="E2267" s="54" t="s">
        <v>329</v>
      </c>
      <c r="F2267" s="53" t="s">
        <v>66</v>
      </c>
      <c r="G2267">
        <v>704.8000000000003</v>
      </c>
      <c r="H2267"/>
      <c r="L2267" s="37"/>
      <c r="M2267" s="39"/>
      <c r="N2267" s="38">
        <f t="shared" si="34"/>
        <v>0</v>
      </c>
    </row>
    <row r="2268" spans="1:14" x14ac:dyDescent="0.25">
      <c r="A2268" s="37" t="s">
        <v>241</v>
      </c>
      <c r="B2268" s="43" t="s">
        <v>175</v>
      </c>
      <c r="C2268" s="62">
        <f>VLOOKUP(B2268,合并仓明细!$D$2:$F$74,3,0)</f>
        <v>68</v>
      </c>
      <c r="D2268" t="s">
        <v>393</v>
      </c>
      <c r="E2268" s="54" t="s">
        <v>385</v>
      </c>
      <c r="F2268" s="53" t="s">
        <v>67</v>
      </c>
      <c r="G2268">
        <v>25.29</v>
      </c>
      <c r="H2268">
        <v>3.7190000000000001E-2</v>
      </c>
      <c r="I2268" s="38">
        <f>IF(H2268&gt;30,QUOTIENT(H2268,30)*VLOOKUP(D2268,'报价表-配送'!$B$61:$I$65,8,0),0)+IF(AND(MOD(H2268,30)&gt;18,MOD(H2268,30)&lt;=30),1,0)*VLOOKUP(D2268,'报价表-配送'!$B$61:$I$65,8,0)</f>
        <v>0</v>
      </c>
      <c r="J2268" s="38">
        <f>IF(AND(MOD(H2268,30)&gt;8,MOD(H2268,30)&lt;=18),1*VLOOKUP(D2268,'报价表-配送'!$B$61:$I$65,7,0),0)</f>
        <v>0</v>
      </c>
      <c r="K2268" s="38">
        <f>IF(AND(MOD(H2268,30)&lt;=8,MOD(H2268,30)&gt;0),1,0)*VLOOKUP(D2268,'报价表-配送'!$B$61:$I$65,6,0)</f>
        <v>0</v>
      </c>
      <c r="L2268" s="37"/>
      <c r="M2268" s="39"/>
      <c r="N2268" s="38">
        <f t="shared" si="34"/>
        <v>0</v>
      </c>
    </row>
    <row r="2269" spans="1:14" x14ac:dyDescent="0.25">
      <c r="A2269" s="37" t="s">
        <v>241</v>
      </c>
      <c r="B2269" s="43" t="s">
        <v>175</v>
      </c>
      <c r="C2269" s="62">
        <f>VLOOKUP(B2269,合并仓明细!$D$2:$F$74,3,0)</f>
        <v>68</v>
      </c>
      <c r="D2269" t="s">
        <v>393</v>
      </c>
      <c r="E2269" s="54" t="s">
        <v>385</v>
      </c>
      <c r="F2269" s="53" t="s">
        <v>66</v>
      </c>
      <c r="G2269">
        <v>11.9</v>
      </c>
      <c r="H2269"/>
      <c r="I2269" s="46"/>
      <c r="J2269" s="38"/>
      <c r="K2269" s="38"/>
      <c r="L2269" s="37"/>
      <c r="M2269" s="39"/>
      <c r="N2269" s="38">
        <f t="shared" si="34"/>
        <v>0</v>
      </c>
    </row>
    <row r="2270" spans="1:14" x14ac:dyDescent="0.25">
      <c r="A2270" s="37" t="s">
        <v>241</v>
      </c>
      <c r="B2270" s="43" t="s">
        <v>175</v>
      </c>
      <c r="C2270" s="62">
        <f>VLOOKUP(B2270,合并仓明细!$D$2:$F$74,3,0)</f>
        <v>68</v>
      </c>
      <c r="D2270" t="s">
        <v>393</v>
      </c>
      <c r="E2270" s="54" t="s">
        <v>348</v>
      </c>
      <c r="F2270" s="53" t="s">
        <v>68</v>
      </c>
      <c r="G2270">
        <v>738.61</v>
      </c>
      <c r="H2270">
        <v>12.589829999999997</v>
      </c>
      <c r="I2270" s="46">
        <f>ROUNDUP(H2270/30,0)*VLOOKUP(D2270,'报价表-配送'!$B$61:$I$65,8,0)</f>
        <v>0</v>
      </c>
      <c r="N2270" s="38">
        <f t="shared" si="34"/>
        <v>0</v>
      </c>
    </row>
    <row r="2271" spans="1:14" x14ac:dyDescent="0.25">
      <c r="A2271" s="37" t="s">
        <v>241</v>
      </c>
      <c r="B2271" s="43" t="s">
        <v>175</v>
      </c>
      <c r="C2271" s="62">
        <f>VLOOKUP(B2271,合并仓明细!$D$2:$F$74,3,0)</f>
        <v>68</v>
      </c>
      <c r="D2271" t="s">
        <v>393</v>
      </c>
      <c r="E2271" s="54" t="s">
        <v>348</v>
      </c>
      <c r="F2271" s="53" t="s">
        <v>67</v>
      </c>
      <c r="G2271">
        <v>9639.3999999999978</v>
      </c>
      <c r="H2271"/>
      <c r="I2271" s="46"/>
      <c r="J2271" s="38"/>
      <c r="K2271" s="38"/>
      <c r="L2271" s="37"/>
      <c r="M2271" s="39"/>
      <c r="N2271" s="38">
        <f t="shared" si="34"/>
        <v>0</v>
      </c>
    </row>
    <row r="2272" spans="1:14" x14ac:dyDescent="0.25">
      <c r="A2272" s="37" t="s">
        <v>241</v>
      </c>
      <c r="B2272" s="43" t="s">
        <v>175</v>
      </c>
      <c r="C2272" s="62">
        <f>VLOOKUP(B2272,合并仓明细!$D$2:$F$74,3,0)</f>
        <v>68</v>
      </c>
      <c r="D2272" t="s">
        <v>393</v>
      </c>
      <c r="E2272" s="54" t="s">
        <v>348</v>
      </c>
      <c r="F2272" s="53" t="s">
        <v>66</v>
      </c>
      <c r="G2272">
        <v>2211.8199999999988</v>
      </c>
      <c r="H2272"/>
      <c r="N2272" s="38">
        <f t="shared" si="34"/>
        <v>0</v>
      </c>
    </row>
    <row r="2273" spans="1:14" x14ac:dyDescent="0.25">
      <c r="A2273" s="37" t="s">
        <v>241</v>
      </c>
      <c r="B2273" s="43" t="s">
        <v>175</v>
      </c>
      <c r="C2273" s="62">
        <f>VLOOKUP(B2273,合并仓明细!$D$2:$F$74,3,0)</f>
        <v>68</v>
      </c>
      <c r="D2273" t="s">
        <v>393</v>
      </c>
      <c r="E2273" s="54" t="s">
        <v>286</v>
      </c>
      <c r="F2273" s="53" t="s">
        <v>68</v>
      </c>
      <c r="G2273">
        <v>537.32999999999993</v>
      </c>
      <c r="H2273">
        <v>10.615969999999999</v>
      </c>
      <c r="I2273" s="46">
        <f>ROUNDUP(H2273/30,0)*VLOOKUP(D2273,'报价表-配送'!$B$61:$I$65,8,0)</f>
        <v>0</v>
      </c>
      <c r="N2273" s="38">
        <f t="shared" si="34"/>
        <v>0</v>
      </c>
    </row>
    <row r="2274" spans="1:14" x14ac:dyDescent="0.25">
      <c r="A2274" s="37" t="s">
        <v>241</v>
      </c>
      <c r="B2274" s="43" t="s">
        <v>175</v>
      </c>
      <c r="C2274" s="62">
        <f>VLOOKUP(B2274,合并仓明细!$D$2:$F$74,3,0)</f>
        <v>68</v>
      </c>
      <c r="D2274" t="s">
        <v>393</v>
      </c>
      <c r="E2274" s="54" t="s">
        <v>286</v>
      </c>
      <c r="F2274" s="53" t="s">
        <v>67</v>
      </c>
      <c r="G2274">
        <v>8459.23</v>
      </c>
      <c r="H2274"/>
      <c r="L2274" s="37"/>
      <c r="M2274" s="39"/>
      <c r="N2274" s="38">
        <f t="shared" si="34"/>
        <v>0</v>
      </c>
    </row>
    <row r="2275" spans="1:14" x14ac:dyDescent="0.25">
      <c r="A2275" s="37" t="s">
        <v>241</v>
      </c>
      <c r="B2275" s="43" t="s">
        <v>175</v>
      </c>
      <c r="C2275" s="62">
        <f>VLOOKUP(B2275,合并仓明细!$D$2:$F$74,3,0)</f>
        <v>68</v>
      </c>
      <c r="D2275" t="s">
        <v>393</v>
      </c>
      <c r="E2275" s="54" t="s">
        <v>286</v>
      </c>
      <c r="F2275" s="53" t="s">
        <v>66</v>
      </c>
      <c r="G2275">
        <v>1619.4099999999999</v>
      </c>
      <c r="H2275"/>
      <c r="I2275" s="38"/>
      <c r="J2275" s="38"/>
      <c r="K2275" s="38"/>
      <c r="L2275" s="37"/>
      <c r="M2275" s="37"/>
      <c r="N2275" s="38">
        <f t="shared" si="34"/>
        <v>0</v>
      </c>
    </row>
    <row r="2276" spans="1:14" x14ac:dyDescent="0.25">
      <c r="A2276" s="37" t="s">
        <v>241</v>
      </c>
      <c r="B2276" s="43" t="s">
        <v>175</v>
      </c>
      <c r="C2276" s="62">
        <f>VLOOKUP(B2276,合并仓明细!$D$2:$F$74,3,0)</f>
        <v>68</v>
      </c>
      <c r="D2276" t="s">
        <v>393</v>
      </c>
      <c r="E2276" s="54" t="s">
        <v>287</v>
      </c>
      <c r="F2276" s="53" t="s">
        <v>66</v>
      </c>
      <c r="G2276">
        <v>69.900000000000006</v>
      </c>
      <c r="H2276">
        <v>6.9900000000000004E-2</v>
      </c>
      <c r="L2276" s="37">
        <f>IF(H2276&gt;30,QUOTIENT(H2276,30)*VLOOKUP(D2276,'报价表-配送'!$B$61:$I$65,8,0),0)+IF(AND(MOD(H2276,30)&gt;18,MOD(H2276,30)&lt;=30),1,0)*VLOOKUP(D2276,'报价表-配送'!$B$61:$I$65,8,0)+IF(AND(MOD(H2276,30)&gt;8,MOD(H2276,30)&lt;=18),1*VLOOKUP(D2276,'报价表-配送'!$B$61:$I$65,7,0),0)+IF(AND(MOD(H2276,30)&lt;=8,MOD(H2276,30)&gt;2.5),1,0)*VLOOKUP(D2276,'报价表-配送'!$B$61:$I$65,6,0)+IF(AND(MOD(H2276,30)&lt;=2.5,MOD(H2276,30)&gt;=1.5),1,0)*VLOOKUP(D2276,'报价表-配送'!$B$61:$I$65,5,0)</f>
        <v>0</v>
      </c>
      <c r="M2276" s="39">
        <f>IF(AND(MOD(H2276,30)&lt;1.5,MOD(H2276,30)&gt;=0.5),H2276,0)*VLOOKUP(D2276,'报价表-配送'!$B$61:$I$65,4,0)*1000+IF(AND(MOD(H2276,30)&lt;0.5,MOD(H2276,30)&gt;=0.02),H2276,0)*VLOOKUP(D2276,'报价表-配送'!$B$61:$I$65,3,0)*1000+IF(AND(MOD(H2276,30)&lt;0.02),H2276,0)*VLOOKUP(D2276,'报价表-配送'!$B$61:$I$65,2,0)*1000</f>
        <v>0</v>
      </c>
      <c r="N2276" s="38">
        <f t="shared" si="34"/>
        <v>0</v>
      </c>
    </row>
    <row r="2277" spans="1:14" x14ac:dyDescent="0.25">
      <c r="A2277" s="37" t="s">
        <v>241</v>
      </c>
      <c r="B2277" s="43" t="s">
        <v>175</v>
      </c>
      <c r="C2277" s="62">
        <f>VLOOKUP(B2277,合并仓明细!$D$2:$F$74,3,0)</f>
        <v>68</v>
      </c>
      <c r="D2277" t="s">
        <v>393</v>
      </c>
      <c r="E2277" s="54" t="s">
        <v>324</v>
      </c>
      <c r="F2277" s="53" t="s">
        <v>67</v>
      </c>
      <c r="G2277">
        <v>10.24</v>
      </c>
      <c r="H2277">
        <v>0.53490000000000015</v>
      </c>
      <c r="I2277" s="38">
        <f>IF(H2277&gt;30,QUOTIENT(H2277,30)*VLOOKUP(D2277,'报价表-配送'!$B$61:$I$65,8,0),0)+IF(AND(MOD(H2277,30)&gt;18,MOD(H2277,30)&lt;=30),1,0)*VLOOKUP(D2277,'报价表-配送'!$B$61:$I$65,8,0)</f>
        <v>0</v>
      </c>
      <c r="J2277" s="38">
        <f>IF(AND(MOD(H2277,30)&gt;8,MOD(H2277,30)&lt;=18),1*VLOOKUP(D2277,'报价表-配送'!$B$61:$I$65,7,0),0)</f>
        <v>0</v>
      </c>
      <c r="K2277" s="38">
        <f>IF(AND(MOD(H2277,30)&lt;=8,MOD(H2277,30)&gt;0),1,0)*VLOOKUP(D2277,'报价表-配送'!$B$61:$I$65,6,0)</f>
        <v>0</v>
      </c>
      <c r="L2277" s="37"/>
      <c r="M2277" s="39"/>
      <c r="N2277" s="38">
        <f t="shared" si="34"/>
        <v>0</v>
      </c>
    </row>
    <row r="2278" spans="1:14" x14ac:dyDescent="0.25">
      <c r="A2278" s="37" t="s">
        <v>241</v>
      </c>
      <c r="B2278" s="43" t="s">
        <v>175</v>
      </c>
      <c r="C2278" s="62">
        <f>VLOOKUP(B2278,合并仓明细!$D$2:$F$74,3,0)</f>
        <v>68</v>
      </c>
      <c r="D2278" t="s">
        <v>393</v>
      </c>
      <c r="E2278" s="54" t="s">
        <v>324</v>
      </c>
      <c r="F2278" s="53" t="s">
        <v>66</v>
      </c>
      <c r="G2278">
        <v>524.6600000000002</v>
      </c>
      <c r="H2278"/>
      <c r="L2278" s="37"/>
      <c r="M2278" s="39"/>
      <c r="N2278" s="38">
        <f t="shared" si="34"/>
        <v>0</v>
      </c>
    </row>
    <row r="2279" spans="1:14" x14ac:dyDescent="0.25">
      <c r="A2279" s="37" t="s">
        <v>241</v>
      </c>
      <c r="B2279" s="43" t="s">
        <v>175</v>
      </c>
      <c r="C2279" s="62">
        <f>VLOOKUP(B2279,合并仓明细!$D$2:$F$74,3,0)</f>
        <v>68</v>
      </c>
      <c r="D2279" t="s">
        <v>393</v>
      </c>
      <c r="E2279" s="54" t="s">
        <v>372</v>
      </c>
      <c r="F2279" s="53" t="s">
        <v>68</v>
      </c>
      <c r="G2279">
        <v>102.17</v>
      </c>
      <c r="H2279">
        <v>1.5991600000000001</v>
      </c>
      <c r="I2279" s="46">
        <f>ROUNDUP(H2279/30,0)*VLOOKUP(D2279,'报价表-配送'!$B$61:$I$65,8,0)</f>
        <v>0</v>
      </c>
      <c r="N2279" s="38">
        <f t="shared" si="34"/>
        <v>0</v>
      </c>
    </row>
    <row r="2280" spans="1:14" x14ac:dyDescent="0.25">
      <c r="A2280" s="37" t="s">
        <v>241</v>
      </c>
      <c r="B2280" s="43" t="s">
        <v>175</v>
      </c>
      <c r="C2280" s="62">
        <f>VLOOKUP(B2280,合并仓明细!$D$2:$F$74,3,0)</f>
        <v>68</v>
      </c>
      <c r="D2280" t="s">
        <v>393</v>
      </c>
      <c r="E2280" s="54" t="s">
        <v>372</v>
      </c>
      <c r="F2280" s="53" t="s">
        <v>67</v>
      </c>
      <c r="G2280">
        <v>1393.9</v>
      </c>
      <c r="H2280"/>
      <c r="N2280" s="38">
        <f t="shared" si="34"/>
        <v>0</v>
      </c>
    </row>
    <row r="2281" spans="1:14" x14ac:dyDescent="0.25">
      <c r="A2281" s="37" t="s">
        <v>241</v>
      </c>
      <c r="B2281" s="45" t="s">
        <v>175</v>
      </c>
      <c r="C2281" s="62">
        <f>VLOOKUP(B2281,合并仓明细!$D$2:$F$74,3,0)</f>
        <v>68</v>
      </c>
      <c r="D2281" t="s">
        <v>393</v>
      </c>
      <c r="E2281" s="54" t="s">
        <v>372</v>
      </c>
      <c r="F2281" s="53" t="s">
        <v>66</v>
      </c>
      <c r="G2281">
        <v>103.09</v>
      </c>
      <c r="H2281"/>
      <c r="L2281" s="37"/>
      <c r="M2281" s="39"/>
      <c r="N2281" s="38">
        <f t="shared" si="34"/>
        <v>0</v>
      </c>
    </row>
    <row r="2282" spans="1:14" x14ac:dyDescent="0.25">
      <c r="A2282" s="1" t="s">
        <v>241</v>
      </c>
      <c r="B2282" s="44" t="s">
        <v>175</v>
      </c>
      <c r="C2282" s="62">
        <f>VLOOKUP(B2282,合并仓明细!$D$2:$F$74,3,0)</f>
        <v>68</v>
      </c>
      <c r="D2282" t="s">
        <v>393</v>
      </c>
      <c r="E2282" s="43" t="s">
        <v>247</v>
      </c>
      <c r="F2282" t="s">
        <v>67</v>
      </c>
      <c r="G2282" s="42">
        <v>1353.64</v>
      </c>
      <c r="H2282" s="35">
        <v>1.3536400000000002</v>
      </c>
      <c r="I2282" s="38">
        <f>IF(H2282&gt;30,QUOTIENT(H2282,30)*VLOOKUP(D2282,'报价表-配送'!$B$61:$I$65,8,0),0)+IF(AND(MOD(H2282,30)&gt;18,MOD(H2282,30)&lt;=30),1,0)*VLOOKUP(D2282,'报价表-配送'!$B$61:$I$65,8,0)</f>
        <v>0</v>
      </c>
      <c r="J2282" s="38">
        <f>IF(AND(MOD(H2282,30)&gt;8,MOD(H2282,30)&lt;=18),1*VLOOKUP(D2282,'报价表-配送'!$B$61:$I$65,7,0),0)</f>
        <v>0</v>
      </c>
      <c r="K2282" s="38">
        <f>IF(AND(MOD(H2282,30)&lt;=8,MOD(H2282,30)&gt;0),1,0)*VLOOKUP(D2282,'报价表-配送'!$B$61:$I$65,6,0)</f>
        <v>0</v>
      </c>
      <c r="L2282" s="33"/>
      <c r="M2282" s="1"/>
      <c r="N2282" s="38">
        <f t="shared" si="34"/>
        <v>0</v>
      </c>
    </row>
    <row r="2283" spans="1:14" x14ac:dyDescent="0.25">
      <c r="A2283" s="1" t="s">
        <v>241</v>
      </c>
      <c r="B2283" s="43" t="s">
        <v>175</v>
      </c>
      <c r="C2283" s="62">
        <f>VLOOKUP(B2283,合并仓明细!$D$2:$F$74,3,0)</f>
        <v>68</v>
      </c>
      <c r="D2283" t="s">
        <v>393</v>
      </c>
      <c r="E2283" s="43" t="s">
        <v>349</v>
      </c>
      <c r="F2283" t="s">
        <v>67</v>
      </c>
      <c r="G2283" s="42">
        <v>134.4</v>
      </c>
      <c r="H2283" s="35">
        <v>0.47659000000000001</v>
      </c>
      <c r="I2283" s="38">
        <f>IF(H2283&gt;30,QUOTIENT(H2283,30)*VLOOKUP(D2283,'报价表-配送'!$B$61:$I$65,8,0),0)+IF(AND(MOD(H2283,30)&gt;18,MOD(H2283,30)&lt;=30),1,0)*VLOOKUP(D2283,'报价表-配送'!$B$61:$I$65,8,0)</f>
        <v>0</v>
      </c>
      <c r="J2283" s="38">
        <f>IF(AND(MOD(H2283,30)&gt;8,MOD(H2283,30)&lt;=18),1*VLOOKUP(D2283,'报价表-配送'!$B$61:$I$65,7,0),0)</f>
        <v>0</v>
      </c>
      <c r="K2283" s="38">
        <f>IF(AND(MOD(H2283,30)&lt;=8,MOD(H2283,30)&gt;0),1,0)*VLOOKUP(D2283,'报价表-配送'!$B$61:$I$65,6,0)</f>
        <v>0</v>
      </c>
      <c r="N2283" s="38">
        <f t="shared" si="34"/>
        <v>0</v>
      </c>
    </row>
    <row r="2284" spans="1:14" x14ac:dyDescent="0.25">
      <c r="A2284" s="1" t="s">
        <v>241</v>
      </c>
      <c r="B2284" s="43" t="s">
        <v>175</v>
      </c>
      <c r="C2284" s="62">
        <f>VLOOKUP(B2284,合并仓明细!$D$2:$F$74,3,0)</f>
        <v>68</v>
      </c>
      <c r="D2284" t="s">
        <v>393</v>
      </c>
      <c r="E2284" s="43" t="s">
        <v>349</v>
      </c>
      <c r="F2284" t="s">
        <v>66</v>
      </c>
      <c r="G2284" s="42">
        <v>342.19</v>
      </c>
      <c r="L2284" s="37"/>
      <c r="M2284" s="39"/>
      <c r="N2284" s="38">
        <f t="shared" ref="N2284:N2347" si="35">SUM(I2284:M2284)</f>
        <v>0</v>
      </c>
    </row>
    <row r="2285" spans="1:14" x14ac:dyDescent="0.25">
      <c r="A2285" s="1" t="s">
        <v>241</v>
      </c>
      <c r="B2285" s="43" t="s">
        <v>175</v>
      </c>
      <c r="C2285" s="62">
        <f>VLOOKUP(B2285,合并仓明细!$D$2:$F$74,3,0)</f>
        <v>68</v>
      </c>
      <c r="D2285" t="s">
        <v>393</v>
      </c>
      <c r="E2285" s="43" t="s">
        <v>315</v>
      </c>
      <c r="F2285" t="s">
        <v>67</v>
      </c>
      <c r="G2285" s="42">
        <v>270.77999999999997</v>
      </c>
      <c r="H2285" s="35">
        <v>0.61333999999999989</v>
      </c>
      <c r="I2285" s="38">
        <f>IF(H2285&gt;30,QUOTIENT(H2285,30)*VLOOKUP(D2285,'报价表-配送'!$B$61:$I$65,8,0),0)+IF(AND(MOD(H2285,30)&gt;18,MOD(H2285,30)&lt;=30),1,0)*VLOOKUP(D2285,'报价表-配送'!$B$61:$I$65,8,0)</f>
        <v>0</v>
      </c>
      <c r="J2285" s="38">
        <f>IF(AND(MOD(H2285,30)&gt;8,MOD(H2285,30)&lt;=18),1*VLOOKUP(D2285,'报价表-配送'!$B$61:$I$65,7,0),0)</f>
        <v>0</v>
      </c>
      <c r="K2285" s="38">
        <f>IF(AND(MOD(H2285,30)&lt;=8,MOD(H2285,30)&gt;0),1,0)*VLOOKUP(D2285,'报价表-配送'!$B$61:$I$65,6,0)</f>
        <v>0</v>
      </c>
      <c r="N2285" s="38">
        <f t="shared" si="35"/>
        <v>0</v>
      </c>
    </row>
    <row r="2286" spans="1:14" x14ac:dyDescent="0.25">
      <c r="A2286" s="1" t="s">
        <v>241</v>
      </c>
      <c r="B2286" s="43" t="s">
        <v>175</v>
      </c>
      <c r="C2286" s="62">
        <f>VLOOKUP(B2286,合并仓明细!$D$2:$F$74,3,0)</f>
        <v>68</v>
      </c>
      <c r="D2286" t="s">
        <v>393</v>
      </c>
      <c r="E2286" s="43" t="s">
        <v>315</v>
      </c>
      <c r="F2286" t="s">
        <v>66</v>
      </c>
      <c r="G2286" s="42">
        <v>342.56</v>
      </c>
      <c r="I2286" s="52"/>
      <c r="J2286" s="52"/>
      <c r="K2286" s="52"/>
      <c r="L2286" s="37"/>
      <c r="M2286" s="37"/>
      <c r="N2286" s="38">
        <f t="shared" si="35"/>
        <v>0</v>
      </c>
    </row>
    <row r="2287" spans="1:14" x14ac:dyDescent="0.25">
      <c r="A2287" s="1" t="s">
        <v>241</v>
      </c>
      <c r="B2287" s="43" t="s">
        <v>175</v>
      </c>
      <c r="C2287" s="62">
        <f>VLOOKUP(B2287,合并仓明细!$D$2:$F$74,3,0)</f>
        <v>68</v>
      </c>
      <c r="D2287" t="s">
        <v>393</v>
      </c>
      <c r="E2287" s="43" t="s">
        <v>290</v>
      </c>
      <c r="F2287" t="s">
        <v>66</v>
      </c>
      <c r="G2287" s="42">
        <v>0.22</v>
      </c>
      <c r="H2287" s="35">
        <v>2.2000000000000001E-4</v>
      </c>
      <c r="L2287" s="37">
        <f>IF(H2287&gt;30,QUOTIENT(H2287,30)*VLOOKUP(D2287,'报价表-配送'!$B$61:$I$65,8,0),0)+IF(AND(MOD(H2287,30)&gt;18,MOD(H2287,30)&lt;=30),1,0)*VLOOKUP(D2287,'报价表-配送'!$B$61:$I$65,8,0)+IF(AND(MOD(H2287,30)&gt;8,MOD(H2287,30)&lt;=18),1*VLOOKUP(D2287,'报价表-配送'!$B$61:$I$65,7,0),0)+IF(AND(MOD(H2287,30)&lt;=8,MOD(H2287,30)&gt;2.5),1,0)*VLOOKUP(D2287,'报价表-配送'!$B$61:$I$65,6,0)+IF(AND(MOD(H2287,30)&lt;=2.5,MOD(H2287,30)&gt;=1.5),1,0)*VLOOKUP(D2287,'报价表-配送'!$B$61:$I$65,5,0)</f>
        <v>0</v>
      </c>
      <c r="M2287" s="39">
        <f>IF(AND(MOD(H2287,30)&lt;1.5,MOD(H2287,30)&gt;=0.5),H2287,0)*VLOOKUP(D2287,'报价表-配送'!$B$61:$I$65,4,0)*1000+IF(AND(MOD(H2287,30)&lt;0.5,MOD(H2287,30)&gt;=0.02),H2287,0)*VLOOKUP(D2287,'报价表-配送'!$B$61:$I$65,3,0)*1000+IF(AND(MOD(H2287,30)&lt;0.02),H2287,0)*VLOOKUP(D2287,'报价表-配送'!$B$61:$I$65,2,0)*1000</f>
        <v>0</v>
      </c>
      <c r="N2287" s="38">
        <f t="shared" si="35"/>
        <v>0</v>
      </c>
    </row>
    <row r="2288" spans="1:14" x14ac:dyDescent="0.25">
      <c r="A2288" s="1" t="s">
        <v>241</v>
      </c>
      <c r="B2288" s="43" t="s">
        <v>175</v>
      </c>
      <c r="C2288" s="62">
        <f>VLOOKUP(B2288,合并仓明细!$D$2:$F$74,3,0)</f>
        <v>68</v>
      </c>
      <c r="D2288" t="s">
        <v>393</v>
      </c>
      <c r="E2288" s="43" t="s">
        <v>340</v>
      </c>
      <c r="F2288" t="s">
        <v>66</v>
      </c>
      <c r="G2288" s="42">
        <v>44.28</v>
      </c>
      <c r="H2288" s="35">
        <v>4.428E-2</v>
      </c>
      <c r="I2288" s="46"/>
      <c r="K2288" s="1"/>
      <c r="L2288" s="37">
        <f>IF(H2288&gt;30,QUOTIENT(H2288,30)*VLOOKUP(D2288,'报价表-配送'!$B$61:$I$65,8,0),0)+IF(AND(MOD(H2288,30)&gt;18,MOD(H2288,30)&lt;=30),1,0)*VLOOKUP(D2288,'报价表-配送'!$B$61:$I$65,8,0)+IF(AND(MOD(H2288,30)&gt;8,MOD(H2288,30)&lt;=18),1*VLOOKUP(D2288,'报价表-配送'!$B$61:$I$65,7,0),0)+IF(AND(MOD(H2288,30)&lt;=8,MOD(H2288,30)&gt;2.5),1,0)*VLOOKUP(D2288,'报价表-配送'!$B$61:$I$65,6,0)+IF(AND(MOD(H2288,30)&lt;=2.5,MOD(H2288,30)&gt;=1.5),1,0)*VLOOKUP(D2288,'报价表-配送'!$B$61:$I$65,5,0)</f>
        <v>0</v>
      </c>
      <c r="M2288" s="39">
        <f>IF(AND(MOD(H2288,30)&lt;1.5,MOD(H2288,30)&gt;=0.5),H2288,0)*VLOOKUP(D2288,'报价表-配送'!$B$61:$I$65,4,0)*1000+IF(AND(MOD(H2288,30)&lt;0.5,MOD(H2288,30)&gt;=0.02),H2288,0)*VLOOKUP(D2288,'报价表-配送'!$B$61:$I$65,3,0)*1000+IF(AND(MOD(H2288,30)&lt;0.02),H2288,0)*VLOOKUP(D2288,'报价表-配送'!$B$61:$I$65,2,0)*1000</f>
        <v>0</v>
      </c>
      <c r="N2288" s="38">
        <f t="shared" si="35"/>
        <v>0</v>
      </c>
    </row>
    <row r="2289" spans="1:14" x14ac:dyDescent="0.25">
      <c r="A2289" s="1" t="s">
        <v>241</v>
      </c>
      <c r="B2289" s="43" t="s">
        <v>175</v>
      </c>
      <c r="C2289" s="62">
        <f>VLOOKUP(B2289,合并仓明细!$D$2:$F$74,3,0)</f>
        <v>68</v>
      </c>
      <c r="D2289" t="s">
        <v>393</v>
      </c>
      <c r="E2289" s="43" t="s">
        <v>316</v>
      </c>
      <c r="F2289" t="s">
        <v>68</v>
      </c>
      <c r="G2289" s="42">
        <v>1566.8000000000002</v>
      </c>
      <c r="H2289" s="35">
        <v>1.6760800000000002</v>
      </c>
      <c r="I2289" s="46">
        <f>ROUNDUP(H2289/30,0)*VLOOKUP(D2289,'报价表-配送'!$B$61:$I$65,8,0)</f>
        <v>0</v>
      </c>
      <c r="N2289" s="38">
        <f t="shared" si="35"/>
        <v>0</v>
      </c>
    </row>
    <row r="2290" spans="1:14" x14ac:dyDescent="0.25">
      <c r="A2290" s="1" t="s">
        <v>241</v>
      </c>
      <c r="B2290" s="43" t="s">
        <v>175</v>
      </c>
      <c r="C2290" s="62">
        <f>VLOOKUP(B2290,合并仓明细!$D$2:$F$74,3,0)</f>
        <v>68</v>
      </c>
      <c r="D2290" t="s">
        <v>393</v>
      </c>
      <c r="E2290" s="43" t="s">
        <v>316</v>
      </c>
      <c r="F2290" t="s">
        <v>67</v>
      </c>
      <c r="G2290" s="42">
        <v>7.23</v>
      </c>
      <c r="N2290" s="38">
        <f t="shared" si="35"/>
        <v>0</v>
      </c>
    </row>
    <row r="2291" spans="1:14" x14ac:dyDescent="0.25">
      <c r="A2291" s="1" t="s">
        <v>241</v>
      </c>
      <c r="B2291" s="43" t="s">
        <v>175</v>
      </c>
      <c r="C2291" s="62">
        <f>VLOOKUP(B2291,合并仓明细!$D$2:$F$74,3,0)</f>
        <v>68</v>
      </c>
      <c r="D2291" t="s">
        <v>393</v>
      </c>
      <c r="E2291" s="43" t="s">
        <v>316</v>
      </c>
      <c r="F2291" t="s">
        <v>66</v>
      </c>
      <c r="G2291" s="42">
        <v>102.04999999999998</v>
      </c>
      <c r="I2291" s="52"/>
      <c r="J2291" s="52"/>
      <c r="K2291" s="52"/>
      <c r="L2291" s="37"/>
      <c r="M2291" s="37"/>
      <c r="N2291" s="38">
        <f t="shared" si="35"/>
        <v>0</v>
      </c>
    </row>
    <row r="2292" spans="1:14" x14ac:dyDescent="0.25">
      <c r="A2292" s="1" t="s">
        <v>241</v>
      </c>
      <c r="B2292" s="43" t="s">
        <v>175</v>
      </c>
      <c r="C2292" s="62">
        <f>VLOOKUP(B2292,合并仓明细!$D$2:$F$74,3,0)</f>
        <v>68</v>
      </c>
      <c r="D2292" t="s">
        <v>393</v>
      </c>
      <c r="E2292" s="43" t="s">
        <v>248</v>
      </c>
      <c r="F2292" t="s">
        <v>67</v>
      </c>
      <c r="G2292" s="42">
        <v>31.8</v>
      </c>
      <c r="H2292" s="35">
        <v>0.44725999999999999</v>
      </c>
      <c r="I2292" s="38">
        <f>IF(H2292&gt;30,QUOTIENT(H2292,30)*VLOOKUP(D2292,'报价表-配送'!$B$61:$I$65,8,0),0)+IF(AND(MOD(H2292,30)&gt;18,MOD(H2292,30)&lt;=30),1,0)*VLOOKUP(D2292,'报价表-配送'!$B$61:$I$65,8,0)</f>
        <v>0</v>
      </c>
      <c r="J2292" s="38">
        <f>IF(AND(MOD(H2292,30)&gt;8,MOD(H2292,30)&lt;=18),1*VLOOKUP(D2292,'报价表-配送'!$B$61:$I$65,7,0),0)</f>
        <v>0</v>
      </c>
      <c r="K2292" s="38">
        <f>IF(AND(MOD(H2292,30)&lt;=8,MOD(H2292,30)&gt;0),1,0)*VLOOKUP(D2292,'报价表-配送'!$B$61:$I$65,6,0)</f>
        <v>0</v>
      </c>
      <c r="N2292" s="38">
        <f t="shared" si="35"/>
        <v>0</v>
      </c>
    </row>
    <row r="2293" spans="1:14" x14ac:dyDescent="0.25">
      <c r="A2293" s="1" t="s">
        <v>241</v>
      </c>
      <c r="B2293" s="43" t="s">
        <v>175</v>
      </c>
      <c r="C2293" s="62">
        <f>VLOOKUP(B2293,合并仓明细!$D$2:$F$74,3,0)</f>
        <v>68</v>
      </c>
      <c r="D2293" t="s">
        <v>393</v>
      </c>
      <c r="E2293" s="43" t="s">
        <v>248</v>
      </c>
      <c r="F2293" t="s">
        <v>66</v>
      </c>
      <c r="G2293" s="42">
        <v>415.46</v>
      </c>
      <c r="I2293" s="52"/>
      <c r="J2293" s="52"/>
      <c r="K2293" s="52"/>
      <c r="L2293" s="37"/>
      <c r="M2293" s="37"/>
      <c r="N2293" s="38">
        <f t="shared" si="35"/>
        <v>0</v>
      </c>
    </row>
    <row r="2294" spans="1:14" x14ac:dyDescent="0.25">
      <c r="A2294" s="1" t="s">
        <v>241</v>
      </c>
      <c r="B2294" s="43" t="s">
        <v>175</v>
      </c>
      <c r="C2294" s="62">
        <f>VLOOKUP(B2294,合并仓明细!$D$2:$F$74,3,0)</f>
        <v>68</v>
      </c>
      <c r="D2294" t="s">
        <v>393</v>
      </c>
      <c r="E2294" s="43" t="s">
        <v>291</v>
      </c>
      <c r="F2294" t="s">
        <v>67</v>
      </c>
      <c r="G2294" s="42">
        <v>2738.8399999999997</v>
      </c>
      <c r="H2294" s="35">
        <v>2.7424399999999998</v>
      </c>
      <c r="I2294" s="38">
        <f>IF(H2294&gt;30,QUOTIENT(H2294,30)*VLOOKUP(D2294,'报价表-配送'!$B$61:$I$65,8,0),0)+IF(AND(MOD(H2294,30)&gt;18,MOD(H2294,30)&lt;=30),1,0)*VLOOKUP(D2294,'报价表-配送'!$B$61:$I$65,8,0)</f>
        <v>0</v>
      </c>
      <c r="J2294" s="38">
        <f>IF(AND(MOD(H2294,30)&gt;8,MOD(H2294,30)&lt;=18),1*VLOOKUP(D2294,'报价表-配送'!$B$61:$I$65,7,0),0)</f>
        <v>0</v>
      </c>
      <c r="K2294" s="38">
        <f>IF(AND(MOD(H2294,30)&lt;=8,MOD(H2294,30)&gt;0),1,0)*VLOOKUP(D2294,'报价表-配送'!$B$61:$I$65,6,0)</f>
        <v>0</v>
      </c>
      <c r="N2294" s="38">
        <f t="shared" si="35"/>
        <v>0</v>
      </c>
    </row>
    <row r="2295" spans="1:14" x14ac:dyDescent="0.25">
      <c r="A2295" s="1" t="s">
        <v>241</v>
      </c>
      <c r="B2295" s="43" t="s">
        <v>175</v>
      </c>
      <c r="C2295" s="62">
        <f>VLOOKUP(B2295,合并仓明细!$D$2:$F$74,3,0)</f>
        <v>68</v>
      </c>
      <c r="D2295" t="s">
        <v>393</v>
      </c>
      <c r="E2295" s="43" t="s">
        <v>291</v>
      </c>
      <c r="F2295" t="s">
        <v>66</v>
      </c>
      <c r="G2295" s="42">
        <v>3.6</v>
      </c>
      <c r="I2295" s="52"/>
      <c r="J2295" s="52"/>
      <c r="K2295" s="52"/>
      <c r="L2295" s="37"/>
      <c r="M2295" s="37"/>
      <c r="N2295" s="38">
        <f t="shared" si="35"/>
        <v>0</v>
      </c>
    </row>
    <row r="2296" spans="1:14" x14ac:dyDescent="0.25">
      <c r="A2296" s="1" t="s">
        <v>241</v>
      </c>
      <c r="B2296" s="43" t="s">
        <v>175</v>
      </c>
      <c r="C2296" s="62">
        <f>VLOOKUP(B2296,合并仓明细!$D$2:$F$74,3,0)</f>
        <v>68</v>
      </c>
      <c r="D2296" t="s">
        <v>393</v>
      </c>
      <c r="E2296" s="43" t="s">
        <v>341</v>
      </c>
      <c r="F2296" t="s">
        <v>66</v>
      </c>
      <c r="G2296" s="42">
        <v>155.59</v>
      </c>
      <c r="H2296" s="35">
        <v>0.15559000000000001</v>
      </c>
      <c r="L2296" s="37">
        <f>IF(H2296&gt;30,QUOTIENT(H2296,30)*VLOOKUP(D2296,'报价表-配送'!$B$61:$I$65,8,0),0)+IF(AND(MOD(H2296,30)&gt;18,MOD(H2296,30)&lt;=30),1,0)*VLOOKUP(D2296,'报价表-配送'!$B$61:$I$65,8,0)+IF(AND(MOD(H2296,30)&gt;8,MOD(H2296,30)&lt;=18),1*VLOOKUP(D2296,'报价表-配送'!$B$61:$I$65,7,0),0)+IF(AND(MOD(H2296,30)&lt;=8,MOD(H2296,30)&gt;2.5),1,0)*VLOOKUP(D2296,'报价表-配送'!$B$61:$I$65,6,0)+IF(AND(MOD(H2296,30)&lt;=2.5,MOD(H2296,30)&gt;=1.5),1,0)*VLOOKUP(D2296,'报价表-配送'!$B$61:$I$65,5,0)</f>
        <v>0</v>
      </c>
      <c r="M2296" s="39">
        <f>IF(AND(MOD(H2296,30)&lt;1.5,MOD(H2296,30)&gt;=0.5),H2296,0)*VLOOKUP(D2296,'报价表-配送'!$B$61:$I$65,4,0)*1000+IF(AND(MOD(H2296,30)&lt;0.5,MOD(H2296,30)&gt;=0.02),H2296,0)*VLOOKUP(D2296,'报价表-配送'!$B$61:$I$65,3,0)*1000+IF(AND(MOD(H2296,30)&lt;0.02),H2296,0)*VLOOKUP(D2296,'报价表-配送'!$B$61:$I$65,2,0)*1000</f>
        <v>0</v>
      </c>
      <c r="N2296" s="38">
        <f t="shared" si="35"/>
        <v>0</v>
      </c>
    </row>
    <row r="2297" spans="1:14" x14ac:dyDescent="0.25">
      <c r="A2297" s="1" t="s">
        <v>241</v>
      </c>
      <c r="B2297" s="43" t="s">
        <v>175</v>
      </c>
      <c r="C2297" s="62">
        <f>VLOOKUP(B2297,合并仓明细!$D$2:$F$74,3,0)</f>
        <v>68</v>
      </c>
      <c r="D2297" t="s">
        <v>393</v>
      </c>
      <c r="E2297" s="43" t="s">
        <v>292</v>
      </c>
      <c r="F2297" t="s">
        <v>66</v>
      </c>
      <c r="G2297" s="42">
        <v>587.98999999999978</v>
      </c>
      <c r="H2297" s="35">
        <v>0.58798999999999979</v>
      </c>
      <c r="I2297" s="46"/>
      <c r="K2297" s="1"/>
      <c r="L2297" s="37">
        <f>IF(H2297&gt;30,QUOTIENT(H2297,30)*VLOOKUP(D2297,'报价表-配送'!$B$61:$I$65,8,0),0)+IF(AND(MOD(H2297,30)&gt;18,MOD(H2297,30)&lt;=30),1,0)*VLOOKUP(D2297,'报价表-配送'!$B$61:$I$65,8,0)+IF(AND(MOD(H2297,30)&gt;8,MOD(H2297,30)&lt;=18),1*VLOOKUP(D2297,'报价表-配送'!$B$61:$I$65,7,0),0)+IF(AND(MOD(H2297,30)&lt;=8,MOD(H2297,30)&gt;2.5),1,0)*VLOOKUP(D2297,'报价表-配送'!$B$61:$I$65,6,0)+IF(AND(MOD(H2297,30)&lt;=2.5,MOD(H2297,30)&gt;=1.5),1,0)*VLOOKUP(D2297,'报价表-配送'!$B$61:$I$65,5,0)</f>
        <v>0</v>
      </c>
      <c r="M2297" s="39">
        <f>IF(AND(MOD(H2297,30)&lt;1.5,MOD(H2297,30)&gt;=0.5),H2297,0)*VLOOKUP(D2297,'报价表-配送'!$B$61:$I$65,4,0)*1000+IF(AND(MOD(H2297,30)&lt;0.5,MOD(H2297,30)&gt;=0.02),H2297,0)*VLOOKUP(D2297,'报价表-配送'!$B$61:$I$65,3,0)*1000+IF(AND(MOD(H2297,30)&lt;0.02),H2297,0)*VLOOKUP(D2297,'报价表-配送'!$B$61:$I$65,2,0)*1000</f>
        <v>0</v>
      </c>
      <c r="N2297" s="38">
        <f t="shared" si="35"/>
        <v>0</v>
      </c>
    </row>
    <row r="2298" spans="1:14" x14ac:dyDescent="0.25">
      <c r="A2298" s="1" t="s">
        <v>241</v>
      </c>
      <c r="B2298" s="43" t="s">
        <v>175</v>
      </c>
      <c r="C2298" s="62">
        <f>VLOOKUP(B2298,合并仓明细!$D$2:$F$74,3,0)</f>
        <v>68</v>
      </c>
      <c r="D2298" t="s">
        <v>393</v>
      </c>
      <c r="E2298" s="43" t="s">
        <v>358</v>
      </c>
      <c r="F2298" t="s">
        <v>66</v>
      </c>
      <c r="G2298" s="42">
        <v>222.91</v>
      </c>
      <c r="H2298" s="35">
        <v>0.22291</v>
      </c>
      <c r="L2298" s="37">
        <f>IF(H2298&gt;30,QUOTIENT(H2298,30)*VLOOKUP(D2298,'报价表-配送'!$B$61:$I$65,8,0),0)+IF(AND(MOD(H2298,30)&gt;18,MOD(H2298,30)&lt;=30),1,0)*VLOOKUP(D2298,'报价表-配送'!$B$61:$I$65,8,0)+IF(AND(MOD(H2298,30)&gt;8,MOD(H2298,30)&lt;=18),1*VLOOKUP(D2298,'报价表-配送'!$B$61:$I$65,7,0),0)+IF(AND(MOD(H2298,30)&lt;=8,MOD(H2298,30)&gt;2.5),1,0)*VLOOKUP(D2298,'报价表-配送'!$B$61:$I$65,6,0)+IF(AND(MOD(H2298,30)&lt;=2.5,MOD(H2298,30)&gt;=1.5),1,0)*VLOOKUP(D2298,'报价表-配送'!$B$61:$I$65,5,0)</f>
        <v>0</v>
      </c>
      <c r="M2298" s="39">
        <f>IF(AND(MOD(H2298,30)&lt;1.5,MOD(H2298,30)&gt;=0.5),H2298,0)*VLOOKUP(D2298,'报价表-配送'!$B$61:$I$65,4,0)*1000+IF(AND(MOD(H2298,30)&lt;0.5,MOD(H2298,30)&gt;=0.02),H2298,0)*VLOOKUP(D2298,'报价表-配送'!$B$61:$I$65,3,0)*1000+IF(AND(MOD(H2298,30)&lt;0.02),H2298,0)*VLOOKUP(D2298,'报价表-配送'!$B$61:$I$65,2,0)*1000</f>
        <v>0</v>
      </c>
      <c r="N2298" s="38">
        <f t="shared" si="35"/>
        <v>0</v>
      </c>
    </row>
    <row r="2299" spans="1:14" x14ac:dyDescent="0.25">
      <c r="A2299" s="1" t="s">
        <v>241</v>
      </c>
      <c r="B2299" s="43" t="s">
        <v>175</v>
      </c>
      <c r="C2299" s="62">
        <f>VLOOKUP(B2299,合并仓明细!$D$2:$F$74,3,0)</f>
        <v>68</v>
      </c>
      <c r="D2299" t="s">
        <v>393</v>
      </c>
      <c r="E2299" s="43" t="s">
        <v>370</v>
      </c>
      <c r="F2299" t="s">
        <v>67</v>
      </c>
      <c r="G2299" s="42">
        <v>0.92</v>
      </c>
      <c r="H2299" s="35">
        <v>1.0211600000000001</v>
      </c>
      <c r="I2299" s="38">
        <f>IF(H2299&gt;30,QUOTIENT(H2299,30)*VLOOKUP(D2299,'报价表-配送'!$B$61:$I$65,8,0),0)+IF(AND(MOD(H2299,30)&gt;18,MOD(H2299,30)&lt;=30),1,0)*VLOOKUP(D2299,'报价表-配送'!$B$61:$I$65,8,0)</f>
        <v>0</v>
      </c>
      <c r="J2299" s="38">
        <f>IF(AND(MOD(H2299,30)&gt;8,MOD(H2299,30)&lt;=18),1*VLOOKUP(D2299,'报价表-配送'!$B$61:$I$65,7,0),0)</f>
        <v>0</v>
      </c>
      <c r="K2299" s="38">
        <f>IF(AND(MOD(H2299,30)&lt;=8,MOD(H2299,30)&gt;0),1,0)*VLOOKUP(D2299,'报价表-配送'!$B$61:$I$65,6,0)</f>
        <v>0</v>
      </c>
      <c r="N2299" s="38">
        <f t="shared" si="35"/>
        <v>0</v>
      </c>
    </row>
    <row r="2300" spans="1:14" x14ac:dyDescent="0.25">
      <c r="A2300" s="1" t="s">
        <v>241</v>
      </c>
      <c r="B2300" s="43" t="s">
        <v>175</v>
      </c>
      <c r="C2300" s="62">
        <f>VLOOKUP(B2300,合并仓明细!$D$2:$F$74,3,0)</f>
        <v>68</v>
      </c>
      <c r="D2300" t="s">
        <v>393</v>
      </c>
      <c r="E2300" s="43" t="s">
        <v>370</v>
      </c>
      <c r="F2300" t="s">
        <v>66</v>
      </c>
      <c r="G2300" s="42">
        <v>1020.2400000000001</v>
      </c>
      <c r="I2300" s="52"/>
      <c r="J2300" s="52"/>
      <c r="K2300" s="52"/>
      <c r="L2300" s="37"/>
      <c r="M2300" s="37"/>
      <c r="N2300" s="38">
        <f t="shared" si="35"/>
        <v>0</v>
      </c>
    </row>
    <row r="2301" spans="1:14" x14ac:dyDescent="0.25">
      <c r="A2301" s="1" t="s">
        <v>241</v>
      </c>
      <c r="B2301" s="43" t="s">
        <v>175</v>
      </c>
      <c r="C2301" s="62">
        <f>VLOOKUP(B2301,合并仓明细!$D$2:$F$74,3,0)</f>
        <v>68</v>
      </c>
      <c r="D2301" t="s">
        <v>393</v>
      </c>
      <c r="E2301" s="43" t="s">
        <v>295</v>
      </c>
      <c r="F2301" t="s">
        <v>66</v>
      </c>
      <c r="G2301" s="42">
        <v>8</v>
      </c>
      <c r="H2301" s="35">
        <v>8.0000000000000002E-3</v>
      </c>
      <c r="L2301" s="37">
        <f>IF(H2301&gt;30,QUOTIENT(H2301,30)*VLOOKUP(D2301,'报价表-配送'!$B$61:$I$65,8,0),0)+IF(AND(MOD(H2301,30)&gt;18,MOD(H2301,30)&lt;=30),1,0)*VLOOKUP(D2301,'报价表-配送'!$B$61:$I$65,8,0)+IF(AND(MOD(H2301,30)&gt;8,MOD(H2301,30)&lt;=18),1*VLOOKUP(D2301,'报价表-配送'!$B$61:$I$65,7,0),0)+IF(AND(MOD(H2301,30)&lt;=8,MOD(H2301,30)&gt;2.5),1,0)*VLOOKUP(D2301,'报价表-配送'!$B$61:$I$65,6,0)+IF(AND(MOD(H2301,30)&lt;=2.5,MOD(H2301,30)&gt;=1.5),1,0)*VLOOKUP(D2301,'报价表-配送'!$B$61:$I$65,5,0)</f>
        <v>0</v>
      </c>
      <c r="M2301" s="39">
        <f>IF(AND(MOD(H2301,30)&lt;1.5,MOD(H2301,30)&gt;=0.5),H2301,0)*VLOOKUP(D2301,'报价表-配送'!$B$61:$I$65,4,0)*1000+IF(AND(MOD(H2301,30)&lt;0.5,MOD(H2301,30)&gt;=0.02),H2301,0)*VLOOKUP(D2301,'报价表-配送'!$B$61:$I$65,3,0)*1000+IF(AND(MOD(H2301,30)&lt;0.02),H2301,0)*VLOOKUP(D2301,'报价表-配送'!$B$61:$I$65,2,0)*1000</f>
        <v>0</v>
      </c>
      <c r="N2301" s="38">
        <f t="shared" si="35"/>
        <v>0</v>
      </c>
    </row>
    <row r="2302" spans="1:14" x14ac:dyDescent="0.25">
      <c r="A2302" s="1" t="s">
        <v>241</v>
      </c>
      <c r="B2302" s="43" t="s">
        <v>175</v>
      </c>
      <c r="C2302" s="62">
        <f>VLOOKUP(B2302,合并仓明细!$D$2:$F$74,3,0)</f>
        <v>68</v>
      </c>
      <c r="D2302" t="s">
        <v>393</v>
      </c>
      <c r="E2302" s="43" t="s">
        <v>317</v>
      </c>
      <c r="F2302" t="s">
        <v>66</v>
      </c>
      <c r="G2302" s="42">
        <v>272.71000000000004</v>
      </c>
      <c r="H2302" s="35">
        <v>0.27271000000000006</v>
      </c>
      <c r="I2302" s="46"/>
      <c r="K2302" s="1"/>
      <c r="L2302" s="37">
        <f>IF(H2302&gt;30,QUOTIENT(H2302,30)*VLOOKUP(D2302,'报价表-配送'!$B$61:$I$65,8,0),0)+IF(AND(MOD(H2302,30)&gt;18,MOD(H2302,30)&lt;=30),1,0)*VLOOKUP(D2302,'报价表-配送'!$B$61:$I$65,8,0)+IF(AND(MOD(H2302,30)&gt;8,MOD(H2302,30)&lt;=18),1*VLOOKUP(D2302,'报价表-配送'!$B$61:$I$65,7,0),0)+IF(AND(MOD(H2302,30)&lt;=8,MOD(H2302,30)&gt;2.5),1,0)*VLOOKUP(D2302,'报价表-配送'!$B$61:$I$65,6,0)+IF(AND(MOD(H2302,30)&lt;=2.5,MOD(H2302,30)&gt;=1.5),1,0)*VLOOKUP(D2302,'报价表-配送'!$B$61:$I$65,5,0)</f>
        <v>0</v>
      </c>
      <c r="M2302" s="39">
        <f>IF(AND(MOD(H2302,30)&lt;1.5,MOD(H2302,30)&gt;=0.5),H2302,0)*VLOOKUP(D2302,'报价表-配送'!$B$61:$I$65,4,0)*1000+IF(AND(MOD(H2302,30)&lt;0.5,MOD(H2302,30)&gt;=0.02),H2302,0)*VLOOKUP(D2302,'报价表-配送'!$B$61:$I$65,3,0)*1000+IF(AND(MOD(H2302,30)&lt;0.02),H2302,0)*VLOOKUP(D2302,'报价表-配送'!$B$61:$I$65,2,0)*1000</f>
        <v>0</v>
      </c>
      <c r="N2302" s="38">
        <f t="shared" si="35"/>
        <v>0</v>
      </c>
    </row>
    <row r="2303" spans="1:14" x14ac:dyDescent="0.25">
      <c r="A2303" s="1" t="s">
        <v>241</v>
      </c>
      <c r="B2303" s="43" t="s">
        <v>175</v>
      </c>
      <c r="C2303" s="62">
        <f>VLOOKUP(B2303,合并仓明细!$D$2:$F$74,3,0)</f>
        <v>68</v>
      </c>
      <c r="D2303" t="s">
        <v>393</v>
      </c>
      <c r="E2303" s="43" t="s">
        <v>296</v>
      </c>
      <c r="F2303" t="s">
        <v>67</v>
      </c>
      <c r="G2303" s="42">
        <v>400.95</v>
      </c>
      <c r="H2303" s="35">
        <v>0.40094999999999997</v>
      </c>
      <c r="I2303" s="38">
        <f>IF(H2303&gt;30,QUOTIENT(H2303,30)*VLOOKUP(D2303,'报价表-配送'!$B$61:$I$65,8,0),0)+IF(AND(MOD(H2303,30)&gt;18,MOD(H2303,30)&lt;=30),1,0)*VLOOKUP(D2303,'报价表-配送'!$B$61:$I$65,8,0)</f>
        <v>0</v>
      </c>
      <c r="J2303" s="38">
        <f>IF(AND(MOD(H2303,30)&gt;8,MOD(H2303,30)&lt;=18),1*VLOOKUP(D2303,'报价表-配送'!$B$61:$I$65,7,0),0)</f>
        <v>0</v>
      </c>
      <c r="K2303" s="38">
        <f>IF(AND(MOD(H2303,30)&lt;=8,MOD(H2303,30)&gt;0),1,0)*VLOOKUP(D2303,'报价表-配送'!$B$61:$I$65,6,0)</f>
        <v>0</v>
      </c>
      <c r="N2303" s="38">
        <f t="shared" si="35"/>
        <v>0</v>
      </c>
    </row>
    <row r="2304" spans="1:14" x14ac:dyDescent="0.25">
      <c r="A2304" s="1" t="s">
        <v>241</v>
      </c>
      <c r="B2304" s="43" t="s">
        <v>175</v>
      </c>
      <c r="C2304" s="62">
        <f>VLOOKUP(B2304,合并仓明细!$D$2:$F$74,3,0)</f>
        <v>68</v>
      </c>
      <c r="D2304" t="s">
        <v>393</v>
      </c>
      <c r="E2304" s="43" t="s">
        <v>366</v>
      </c>
      <c r="F2304" t="s">
        <v>66</v>
      </c>
      <c r="G2304" s="42">
        <v>7.5</v>
      </c>
      <c r="H2304" s="35">
        <v>7.4999999999999997E-3</v>
      </c>
      <c r="L2304" s="37">
        <f>IF(H2304&gt;30,QUOTIENT(H2304,30)*VLOOKUP(D2304,'报价表-配送'!$B$61:$I$65,8,0),0)+IF(AND(MOD(H2304,30)&gt;18,MOD(H2304,30)&lt;=30),1,0)*VLOOKUP(D2304,'报价表-配送'!$B$61:$I$65,8,0)+IF(AND(MOD(H2304,30)&gt;8,MOD(H2304,30)&lt;=18),1*VLOOKUP(D2304,'报价表-配送'!$B$61:$I$65,7,0),0)+IF(AND(MOD(H2304,30)&lt;=8,MOD(H2304,30)&gt;2.5),1,0)*VLOOKUP(D2304,'报价表-配送'!$B$61:$I$65,6,0)+IF(AND(MOD(H2304,30)&lt;=2.5,MOD(H2304,30)&gt;=1.5),1,0)*VLOOKUP(D2304,'报价表-配送'!$B$61:$I$65,5,0)</f>
        <v>0</v>
      </c>
      <c r="M2304" s="39">
        <f>IF(AND(MOD(H2304,30)&lt;1.5,MOD(H2304,30)&gt;=0.5),H2304,0)*VLOOKUP(D2304,'报价表-配送'!$B$61:$I$65,4,0)*1000+IF(AND(MOD(H2304,30)&lt;0.5,MOD(H2304,30)&gt;=0.02),H2304,0)*VLOOKUP(D2304,'报价表-配送'!$B$61:$I$65,3,0)*1000+IF(AND(MOD(H2304,30)&lt;0.02),H2304,0)*VLOOKUP(D2304,'报价表-配送'!$B$61:$I$65,2,0)*1000</f>
        <v>0</v>
      </c>
      <c r="N2304" s="38">
        <f t="shared" si="35"/>
        <v>0</v>
      </c>
    </row>
    <row r="2305" spans="1:14" x14ac:dyDescent="0.25">
      <c r="A2305" s="1" t="s">
        <v>241</v>
      </c>
      <c r="B2305" s="43" t="s">
        <v>175</v>
      </c>
      <c r="C2305" s="62">
        <f>VLOOKUP(B2305,合并仓明细!$D$2:$F$74,3,0)</f>
        <v>68</v>
      </c>
      <c r="D2305" t="s">
        <v>393</v>
      </c>
      <c r="E2305" s="43" t="s">
        <v>297</v>
      </c>
      <c r="F2305" t="s">
        <v>66</v>
      </c>
      <c r="G2305" s="42">
        <v>102.9</v>
      </c>
      <c r="H2305" s="35">
        <v>0.10290000000000001</v>
      </c>
      <c r="L2305" s="37">
        <f>IF(H2305&gt;30,QUOTIENT(H2305,30)*VLOOKUP(D2305,'报价表-配送'!$B$61:$I$65,8,0),0)+IF(AND(MOD(H2305,30)&gt;18,MOD(H2305,30)&lt;=30),1,0)*VLOOKUP(D2305,'报价表-配送'!$B$61:$I$65,8,0)+IF(AND(MOD(H2305,30)&gt;8,MOD(H2305,30)&lt;=18),1*VLOOKUP(D2305,'报价表-配送'!$B$61:$I$65,7,0),0)+IF(AND(MOD(H2305,30)&lt;=8,MOD(H2305,30)&gt;2.5),1,0)*VLOOKUP(D2305,'报价表-配送'!$B$61:$I$65,6,0)+IF(AND(MOD(H2305,30)&lt;=2.5,MOD(H2305,30)&gt;=1.5),1,0)*VLOOKUP(D2305,'报价表-配送'!$B$61:$I$65,5,0)</f>
        <v>0</v>
      </c>
      <c r="M2305" s="39">
        <f>IF(AND(MOD(H2305,30)&lt;1.5,MOD(H2305,30)&gt;=0.5),H2305,0)*VLOOKUP(D2305,'报价表-配送'!$B$61:$I$65,4,0)*1000+IF(AND(MOD(H2305,30)&lt;0.5,MOD(H2305,30)&gt;=0.02),H2305,0)*VLOOKUP(D2305,'报价表-配送'!$B$61:$I$65,3,0)*1000+IF(AND(MOD(H2305,30)&lt;0.02),H2305,0)*VLOOKUP(D2305,'报价表-配送'!$B$61:$I$65,2,0)*1000</f>
        <v>0</v>
      </c>
      <c r="N2305" s="38">
        <f t="shared" si="35"/>
        <v>0</v>
      </c>
    </row>
    <row r="2306" spans="1:14" x14ac:dyDescent="0.25">
      <c r="A2306" s="1" t="s">
        <v>241</v>
      </c>
      <c r="B2306" s="43" t="s">
        <v>175</v>
      </c>
      <c r="C2306" s="62">
        <f>VLOOKUP(B2306,合并仓明细!$D$2:$F$74,3,0)</f>
        <v>68</v>
      </c>
      <c r="D2306" t="s">
        <v>393</v>
      </c>
      <c r="E2306" s="43" t="s">
        <v>326</v>
      </c>
      <c r="F2306" t="s">
        <v>66</v>
      </c>
      <c r="G2306" s="42">
        <v>92.05</v>
      </c>
      <c r="H2306" s="35">
        <v>9.2049999999999993E-2</v>
      </c>
      <c r="I2306" s="52"/>
      <c r="J2306" s="52"/>
      <c r="K2306" s="52"/>
      <c r="L2306" s="37">
        <f>IF(H2306&gt;30,QUOTIENT(H2306,30)*VLOOKUP(D2306,'报价表-配送'!$B$61:$I$65,8,0),0)+IF(AND(MOD(H2306,30)&gt;18,MOD(H2306,30)&lt;=30),1,0)*VLOOKUP(D2306,'报价表-配送'!$B$61:$I$65,8,0)+IF(AND(MOD(H2306,30)&gt;8,MOD(H2306,30)&lt;=18),1*VLOOKUP(D2306,'报价表-配送'!$B$61:$I$65,7,0),0)+IF(AND(MOD(H2306,30)&lt;=8,MOD(H2306,30)&gt;2.5),1,0)*VLOOKUP(D2306,'报价表-配送'!$B$61:$I$65,6,0)+IF(AND(MOD(H2306,30)&lt;=2.5,MOD(H2306,30)&gt;=1.5),1,0)*VLOOKUP(D2306,'报价表-配送'!$B$61:$I$65,5,0)</f>
        <v>0</v>
      </c>
      <c r="M2306" s="39">
        <f>IF(AND(MOD(H2306,30)&lt;1.5,MOD(H2306,30)&gt;=0.5),H2306,0)*VLOOKUP(D2306,'报价表-配送'!$B$61:$I$65,4,0)*1000+IF(AND(MOD(H2306,30)&lt;0.5,MOD(H2306,30)&gt;=0.02),H2306,0)*VLOOKUP(D2306,'报价表-配送'!$B$61:$I$65,3,0)*1000+IF(AND(MOD(H2306,30)&lt;0.02),H2306,0)*VLOOKUP(D2306,'报价表-配送'!$B$61:$I$65,2,0)*1000</f>
        <v>0</v>
      </c>
      <c r="N2306" s="38">
        <f t="shared" si="35"/>
        <v>0</v>
      </c>
    </row>
    <row r="2307" spans="1:14" x14ac:dyDescent="0.25">
      <c r="A2307" s="1" t="s">
        <v>241</v>
      </c>
      <c r="B2307" s="43" t="s">
        <v>175</v>
      </c>
      <c r="C2307" s="62">
        <f>VLOOKUP(B2307,合并仓明细!$D$2:$F$74,3,0)</f>
        <v>68</v>
      </c>
      <c r="D2307" t="s">
        <v>393</v>
      </c>
      <c r="E2307" s="43" t="s">
        <v>298</v>
      </c>
      <c r="F2307" t="s">
        <v>66</v>
      </c>
      <c r="G2307" s="42">
        <v>44.48</v>
      </c>
      <c r="H2307" s="35">
        <v>4.4479999999999999E-2</v>
      </c>
      <c r="L2307" s="37">
        <f>IF(H2307&gt;30,QUOTIENT(H2307,30)*VLOOKUP(D2307,'报价表-配送'!$B$61:$I$65,8,0),0)+IF(AND(MOD(H2307,30)&gt;18,MOD(H2307,30)&lt;=30),1,0)*VLOOKUP(D2307,'报价表-配送'!$B$61:$I$65,8,0)+IF(AND(MOD(H2307,30)&gt;8,MOD(H2307,30)&lt;=18),1*VLOOKUP(D2307,'报价表-配送'!$B$61:$I$65,7,0),0)+IF(AND(MOD(H2307,30)&lt;=8,MOD(H2307,30)&gt;2.5),1,0)*VLOOKUP(D2307,'报价表-配送'!$B$61:$I$65,6,0)+IF(AND(MOD(H2307,30)&lt;=2.5,MOD(H2307,30)&gt;=1.5),1,0)*VLOOKUP(D2307,'报价表-配送'!$B$61:$I$65,5,0)</f>
        <v>0</v>
      </c>
      <c r="M2307" s="39">
        <f>IF(AND(MOD(H2307,30)&lt;1.5,MOD(H2307,30)&gt;=0.5),H2307,0)*VLOOKUP(D2307,'报价表-配送'!$B$61:$I$65,4,0)*1000+IF(AND(MOD(H2307,30)&lt;0.5,MOD(H2307,30)&gt;=0.02),H2307,0)*VLOOKUP(D2307,'报价表-配送'!$B$61:$I$65,3,0)*1000+IF(AND(MOD(H2307,30)&lt;0.02),H2307,0)*VLOOKUP(D2307,'报价表-配送'!$B$61:$I$65,2,0)*1000</f>
        <v>0</v>
      </c>
      <c r="N2307" s="38">
        <f t="shared" si="35"/>
        <v>0</v>
      </c>
    </row>
    <row r="2308" spans="1:14" x14ac:dyDescent="0.25">
      <c r="A2308" s="1" t="s">
        <v>241</v>
      </c>
      <c r="B2308" s="43" t="s">
        <v>175</v>
      </c>
      <c r="C2308" s="62">
        <f>VLOOKUP(B2308,合并仓明细!$D$2:$F$74,3,0)</f>
        <v>68</v>
      </c>
      <c r="D2308" t="s">
        <v>393</v>
      </c>
      <c r="E2308" s="43" t="s">
        <v>250</v>
      </c>
      <c r="F2308" t="s">
        <v>67</v>
      </c>
      <c r="G2308" s="42">
        <v>150.19</v>
      </c>
      <c r="H2308" s="35">
        <v>0.46032000000000001</v>
      </c>
      <c r="I2308" s="38">
        <f>IF(H2308&gt;30,QUOTIENT(H2308,30)*VLOOKUP(D2308,'报价表-配送'!$B$61:$I$65,8,0),0)+IF(AND(MOD(H2308,30)&gt;18,MOD(H2308,30)&lt;=30),1,0)*VLOOKUP(D2308,'报价表-配送'!$B$61:$I$65,8,0)</f>
        <v>0</v>
      </c>
      <c r="J2308" s="38">
        <f>IF(AND(MOD(H2308,30)&gt;8,MOD(H2308,30)&lt;=18),1*VLOOKUP(D2308,'报价表-配送'!$B$61:$I$65,7,0),0)</f>
        <v>0</v>
      </c>
      <c r="K2308" s="38">
        <f>IF(AND(MOD(H2308,30)&lt;=8,MOD(H2308,30)&gt;0),1,0)*VLOOKUP(D2308,'报价表-配送'!$B$61:$I$65,6,0)</f>
        <v>0</v>
      </c>
      <c r="L2308" s="37"/>
      <c r="M2308" s="37"/>
      <c r="N2308" s="38">
        <f t="shared" si="35"/>
        <v>0</v>
      </c>
    </row>
    <row r="2309" spans="1:14" x14ac:dyDescent="0.25">
      <c r="A2309" s="1" t="s">
        <v>241</v>
      </c>
      <c r="B2309" s="43" t="s">
        <v>175</v>
      </c>
      <c r="C2309" s="62">
        <f>VLOOKUP(B2309,合并仓明细!$D$2:$F$74,3,0)</f>
        <v>68</v>
      </c>
      <c r="D2309" t="s">
        <v>393</v>
      </c>
      <c r="E2309" s="43" t="s">
        <v>250</v>
      </c>
      <c r="F2309" t="s">
        <v>66</v>
      </c>
      <c r="G2309" s="42">
        <v>310.13</v>
      </c>
      <c r="N2309" s="38">
        <f t="shared" si="35"/>
        <v>0</v>
      </c>
    </row>
    <row r="2310" spans="1:14" x14ac:dyDescent="0.25">
      <c r="A2310" s="1" t="s">
        <v>241</v>
      </c>
      <c r="B2310" s="43" t="s">
        <v>175</v>
      </c>
      <c r="C2310" s="62">
        <f>VLOOKUP(B2310,合并仓明细!$D$2:$F$74,3,0)</f>
        <v>68</v>
      </c>
      <c r="D2310" t="s">
        <v>393</v>
      </c>
      <c r="E2310" s="43" t="s">
        <v>318</v>
      </c>
      <c r="F2310" t="s">
        <v>68</v>
      </c>
      <c r="G2310" s="42">
        <v>674.79</v>
      </c>
      <c r="H2310" s="35">
        <v>3.6814</v>
      </c>
      <c r="I2310" s="46">
        <f>ROUNDUP(H2310/30,0)*VLOOKUP(D2310,'报价表-配送'!$B$61:$I$65,8,0)</f>
        <v>0</v>
      </c>
      <c r="K2310" s="1"/>
      <c r="L2310" s="33"/>
      <c r="M2310" s="1"/>
      <c r="N2310" s="38">
        <f t="shared" si="35"/>
        <v>0</v>
      </c>
    </row>
    <row r="2311" spans="1:14" x14ac:dyDescent="0.25">
      <c r="A2311" s="1" t="s">
        <v>241</v>
      </c>
      <c r="B2311" s="43" t="s">
        <v>175</v>
      </c>
      <c r="C2311" s="62">
        <f>VLOOKUP(B2311,合并仓明细!$D$2:$F$74,3,0)</f>
        <v>68</v>
      </c>
      <c r="D2311" t="s">
        <v>393</v>
      </c>
      <c r="E2311" s="43" t="s">
        <v>318</v>
      </c>
      <c r="F2311" t="s">
        <v>67</v>
      </c>
      <c r="G2311" s="42">
        <v>2471.4500000000003</v>
      </c>
      <c r="N2311" s="38">
        <f t="shared" si="35"/>
        <v>0</v>
      </c>
    </row>
    <row r="2312" spans="1:14" x14ac:dyDescent="0.25">
      <c r="A2312" s="1" t="s">
        <v>241</v>
      </c>
      <c r="B2312" s="43" t="s">
        <v>175</v>
      </c>
      <c r="C2312" s="62">
        <f>VLOOKUP(B2312,合并仓明细!$D$2:$F$74,3,0)</f>
        <v>68</v>
      </c>
      <c r="D2312" t="s">
        <v>393</v>
      </c>
      <c r="E2312" s="43" t="s">
        <v>318</v>
      </c>
      <c r="F2312" t="s">
        <v>66</v>
      </c>
      <c r="G2312" s="42">
        <v>535.16</v>
      </c>
      <c r="N2312" s="38">
        <f t="shared" si="35"/>
        <v>0</v>
      </c>
    </row>
    <row r="2313" spans="1:14" x14ac:dyDescent="0.25">
      <c r="A2313" s="1" t="s">
        <v>241</v>
      </c>
      <c r="B2313" s="43" t="s">
        <v>175</v>
      </c>
      <c r="C2313" s="62">
        <f>VLOOKUP(B2313,合并仓明细!$D$2:$F$74,3,0)</f>
        <v>68</v>
      </c>
      <c r="D2313" t="s">
        <v>393</v>
      </c>
      <c r="E2313" s="43" t="s">
        <v>350</v>
      </c>
      <c r="F2313" t="s">
        <v>66</v>
      </c>
      <c r="G2313" s="42">
        <v>6.32</v>
      </c>
      <c r="H2313" s="35">
        <v>6.3200000000000001E-3</v>
      </c>
      <c r="I2313" s="46"/>
      <c r="K2313" s="1"/>
      <c r="L2313" s="37">
        <f>IF(H2313&gt;30,QUOTIENT(H2313,30)*VLOOKUP(D2313,'报价表-配送'!$B$61:$I$65,8,0),0)+IF(AND(MOD(H2313,30)&gt;18,MOD(H2313,30)&lt;=30),1,0)*VLOOKUP(D2313,'报价表-配送'!$B$61:$I$65,8,0)+IF(AND(MOD(H2313,30)&gt;8,MOD(H2313,30)&lt;=18),1*VLOOKUP(D2313,'报价表-配送'!$B$61:$I$65,7,0),0)+IF(AND(MOD(H2313,30)&lt;=8,MOD(H2313,30)&gt;2.5),1,0)*VLOOKUP(D2313,'报价表-配送'!$B$61:$I$65,6,0)+IF(AND(MOD(H2313,30)&lt;=2.5,MOD(H2313,30)&gt;=1.5),1,0)*VLOOKUP(D2313,'报价表-配送'!$B$61:$I$65,5,0)</f>
        <v>0</v>
      </c>
      <c r="M2313" s="39">
        <f>IF(AND(MOD(H2313,30)&lt;1.5,MOD(H2313,30)&gt;=0.5),H2313,0)*VLOOKUP(D2313,'报价表-配送'!$B$61:$I$65,4,0)*1000+IF(AND(MOD(H2313,30)&lt;0.5,MOD(H2313,30)&gt;=0.02),H2313,0)*VLOOKUP(D2313,'报价表-配送'!$B$61:$I$65,3,0)*1000+IF(AND(MOD(H2313,30)&lt;0.02),H2313,0)*VLOOKUP(D2313,'报价表-配送'!$B$61:$I$65,2,0)*1000</f>
        <v>0</v>
      </c>
      <c r="N2313" s="38">
        <f t="shared" si="35"/>
        <v>0</v>
      </c>
    </row>
    <row r="2314" spans="1:14" x14ac:dyDescent="0.25">
      <c r="A2314" s="1" t="s">
        <v>241</v>
      </c>
      <c r="B2314" s="43" t="s">
        <v>175</v>
      </c>
      <c r="C2314" s="62">
        <f>VLOOKUP(B2314,合并仓明细!$D$2:$F$74,3,0)</f>
        <v>68</v>
      </c>
      <c r="D2314" t="s">
        <v>393</v>
      </c>
      <c r="E2314" s="43" t="s">
        <v>299</v>
      </c>
      <c r="F2314" t="s">
        <v>67</v>
      </c>
      <c r="G2314" s="42">
        <v>4.4800000000000004</v>
      </c>
      <c r="H2314" s="35">
        <v>3.0879999999999998E-2</v>
      </c>
      <c r="I2314" s="38">
        <f>IF(H2314&gt;30,QUOTIENT(H2314,30)*VLOOKUP(D2314,'报价表-配送'!$B$61:$I$65,8,0),0)+IF(AND(MOD(H2314,30)&gt;18,MOD(H2314,30)&lt;=30),1,0)*VLOOKUP(D2314,'报价表-配送'!$B$61:$I$65,8,0)</f>
        <v>0</v>
      </c>
      <c r="J2314" s="38">
        <f>IF(AND(MOD(H2314,30)&gt;8,MOD(H2314,30)&lt;=18),1*VLOOKUP(D2314,'报价表-配送'!$B$61:$I$65,7,0),0)</f>
        <v>0</v>
      </c>
      <c r="K2314" s="38">
        <f>IF(AND(MOD(H2314,30)&lt;=8,MOD(H2314,30)&gt;0),1,0)*VLOOKUP(D2314,'报价表-配送'!$B$61:$I$65,6,0)</f>
        <v>0</v>
      </c>
      <c r="N2314" s="38">
        <f t="shared" si="35"/>
        <v>0</v>
      </c>
    </row>
    <row r="2315" spans="1:14" x14ac:dyDescent="0.25">
      <c r="A2315" s="1" t="s">
        <v>241</v>
      </c>
      <c r="B2315" s="43" t="s">
        <v>175</v>
      </c>
      <c r="C2315" s="62">
        <f>VLOOKUP(B2315,合并仓明细!$D$2:$F$74,3,0)</f>
        <v>68</v>
      </c>
      <c r="D2315" t="s">
        <v>393</v>
      </c>
      <c r="E2315" s="43" t="s">
        <v>299</v>
      </c>
      <c r="F2315" t="s">
        <v>66</v>
      </c>
      <c r="G2315" s="42">
        <v>26.4</v>
      </c>
      <c r="N2315" s="38">
        <f t="shared" si="35"/>
        <v>0</v>
      </c>
    </row>
    <row r="2316" spans="1:14" x14ac:dyDescent="0.25">
      <c r="A2316" s="1" t="s">
        <v>241</v>
      </c>
      <c r="B2316" s="43" t="s">
        <v>175</v>
      </c>
      <c r="C2316" s="62">
        <f>VLOOKUP(B2316,合并仓明细!$D$2:$F$74,3,0)</f>
        <v>68</v>
      </c>
      <c r="D2316" t="s">
        <v>393</v>
      </c>
      <c r="E2316" s="43" t="s">
        <v>327</v>
      </c>
      <c r="F2316" t="s">
        <v>68</v>
      </c>
      <c r="G2316" s="42">
        <v>1716.4099999999999</v>
      </c>
      <c r="H2316" s="35">
        <v>1.7850599999999999</v>
      </c>
      <c r="I2316" s="46">
        <f>ROUNDUP(H2316/30,0)*VLOOKUP(D2316,'报价表-配送'!$B$61:$I$65,8,0)</f>
        <v>0</v>
      </c>
      <c r="K2316" s="1"/>
      <c r="L2316" s="33"/>
      <c r="M2316" s="1"/>
      <c r="N2316" s="38">
        <f t="shared" si="35"/>
        <v>0</v>
      </c>
    </row>
    <row r="2317" spans="1:14" x14ac:dyDescent="0.25">
      <c r="A2317" s="1" t="s">
        <v>241</v>
      </c>
      <c r="B2317" s="43" t="s">
        <v>175</v>
      </c>
      <c r="C2317" s="62">
        <f>VLOOKUP(B2317,合并仓明细!$D$2:$F$74,3,0)</f>
        <v>68</v>
      </c>
      <c r="D2317" t="s">
        <v>393</v>
      </c>
      <c r="E2317" s="43" t="s">
        <v>327</v>
      </c>
      <c r="F2317" t="s">
        <v>67</v>
      </c>
      <c r="G2317" s="42">
        <v>19.93</v>
      </c>
      <c r="N2317" s="38">
        <f t="shared" si="35"/>
        <v>0</v>
      </c>
    </row>
    <row r="2318" spans="1:14" x14ac:dyDescent="0.25">
      <c r="A2318" s="1" t="s">
        <v>241</v>
      </c>
      <c r="B2318" s="43" t="s">
        <v>175</v>
      </c>
      <c r="C2318" s="62">
        <f>VLOOKUP(B2318,合并仓明细!$D$2:$F$74,3,0)</f>
        <v>68</v>
      </c>
      <c r="D2318" t="s">
        <v>393</v>
      </c>
      <c r="E2318" s="43" t="s">
        <v>327</v>
      </c>
      <c r="F2318" t="s">
        <v>66</v>
      </c>
      <c r="G2318" s="42">
        <v>48.72</v>
      </c>
      <c r="N2318" s="38">
        <f t="shared" si="35"/>
        <v>0</v>
      </c>
    </row>
    <row r="2319" spans="1:14" x14ac:dyDescent="0.25">
      <c r="A2319" s="1" t="s">
        <v>241</v>
      </c>
      <c r="B2319" s="43" t="s">
        <v>175</v>
      </c>
      <c r="C2319" s="62">
        <f>VLOOKUP(B2319,合并仓明细!$D$2:$F$74,3,0)</f>
        <v>68</v>
      </c>
      <c r="D2319" t="s">
        <v>393</v>
      </c>
      <c r="E2319" s="43" t="s">
        <v>374</v>
      </c>
      <c r="F2319" t="s">
        <v>68</v>
      </c>
      <c r="G2319" s="42">
        <v>1044.44</v>
      </c>
      <c r="H2319" s="35">
        <v>1.8693300000000002</v>
      </c>
      <c r="I2319" s="46">
        <f>ROUNDUP(H2319/30,0)*VLOOKUP(D2319,'报价表-配送'!$B$61:$I$65,8,0)</f>
        <v>0</v>
      </c>
      <c r="N2319" s="38">
        <f t="shared" si="35"/>
        <v>0</v>
      </c>
    </row>
    <row r="2320" spans="1:14" x14ac:dyDescent="0.25">
      <c r="A2320" s="1" t="s">
        <v>241</v>
      </c>
      <c r="B2320" s="43" t="s">
        <v>175</v>
      </c>
      <c r="C2320" s="62">
        <f>VLOOKUP(B2320,合并仓明细!$D$2:$F$74,3,0)</f>
        <v>68</v>
      </c>
      <c r="D2320" t="s">
        <v>393</v>
      </c>
      <c r="E2320" s="43" t="s">
        <v>374</v>
      </c>
      <c r="F2320" t="s">
        <v>67</v>
      </c>
      <c r="G2320" s="42">
        <v>448.16</v>
      </c>
      <c r="I2320" s="52"/>
      <c r="J2320" s="52"/>
      <c r="K2320" s="52"/>
      <c r="L2320" s="37"/>
      <c r="M2320" s="37"/>
      <c r="N2320" s="38">
        <f t="shared" si="35"/>
        <v>0</v>
      </c>
    </row>
    <row r="2321" spans="1:14" x14ac:dyDescent="0.25">
      <c r="A2321" s="1" t="s">
        <v>241</v>
      </c>
      <c r="B2321" s="43" t="s">
        <v>175</v>
      </c>
      <c r="C2321" s="62">
        <f>VLOOKUP(B2321,合并仓明细!$D$2:$F$74,3,0)</f>
        <v>68</v>
      </c>
      <c r="D2321" t="s">
        <v>393</v>
      </c>
      <c r="E2321" s="43" t="s">
        <v>374</v>
      </c>
      <c r="F2321" t="s">
        <v>66</v>
      </c>
      <c r="G2321" s="42">
        <v>376.72999999999996</v>
      </c>
      <c r="N2321" s="38">
        <f t="shared" si="35"/>
        <v>0</v>
      </c>
    </row>
    <row r="2322" spans="1:14" x14ac:dyDescent="0.25">
      <c r="A2322" s="1" t="s">
        <v>241</v>
      </c>
      <c r="B2322" s="43" t="s">
        <v>175</v>
      </c>
      <c r="C2322" s="62">
        <f>VLOOKUP(B2322,合并仓明细!$D$2:$F$74,3,0)</f>
        <v>68</v>
      </c>
      <c r="D2322" t="s">
        <v>393</v>
      </c>
      <c r="E2322" s="43" t="s">
        <v>360</v>
      </c>
      <c r="F2322" t="s">
        <v>68</v>
      </c>
      <c r="G2322" s="42">
        <v>174.36</v>
      </c>
      <c r="H2322" s="35">
        <v>1.0212399999999999</v>
      </c>
      <c r="I2322" s="46">
        <f>ROUNDUP(H2322/30,0)*VLOOKUP(D2322,'报价表-配送'!$B$61:$I$65,8,0)</f>
        <v>0</v>
      </c>
      <c r="J2322" s="52"/>
      <c r="K2322" s="52"/>
      <c r="L2322" s="37"/>
      <c r="M2322" s="37"/>
      <c r="N2322" s="38">
        <f t="shared" si="35"/>
        <v>0</v>
      </c>
    </row>
    <row r="2323" spans="1:14" x14ac:dyDescent="0.25">
      <c r="A2323" s="1" t="s">
        <v>241</v>
      </c>
      <c r="B2323" s="43" t="s">
        <v>175</v>
      </c>
      <c r="C2323" s="62">
        <f>VLOOKUP(B2323,合并仓明细!$D$2:$F$74,3,0)</f>
        <v>68</v>
      </c>
      <c r="D2323" t="s">
        <v>393</v>
      </c>
      <c r="E2323" s="43" t="s">
        <v>360</v>
      </c>
      <c r="F2323" t="s">
        <v>67</v>
      </c>
      <c r="G2323" s="42">
        <v>704.81999999999994</v>
      </c>
      <c r="N2323" s="38">
        <f t="shared" si="35"/>
        <v>0</v>
      </c>
    </row>
    <row r="2324" spans="1:14" x14ac:dyDescent="0.25">
      <c r="A2324" s="1" t="s">
        <v>241</v>
      </c>
      <c r="B2324" s="43" t="s">
        <v>175</v>
      </c>
      <c r="C2324" s="62">
        <f>VLOOKUP(B2324,合并仓明细!$D$2:$F$74,3,0)</f>
        <v>68</v>
      </c>
      <c r="D2324" t="s">
        <v>393</v>
      </c>
      <c r="E2324" s="43" t="s">
        <v>360</v>
      </c>
      <c r="F2324" t="s">
        <v>66</v>
      </c>
      <c r="G2324" s="42">
        <v>142.06</v>
      </c>
      <c r="I2324" s="52"/>
      <c r="J2324" s="52"/>
      <c r="K2324" s="52"/>
      <c r="L2324" s="37"/>
      <c r="M2324" s="37"/>
      <c r="N2324" s="38">
        <f t="shared" si="35"/>
        <v>0</v>
      </c>
    </row>
    <row r="2325" spans="1:14" x14ac:dyDescent="0.25">
      <c r="A2325" s="1" t="s">
        <v>241</v>
      </c>
      <c r="B2325" s="43" t="s">
        <v>175</v>
      </c>
      <c r="C2325" s="62">
        <f>VLOOKUP(B2325,合并仓明细!$D$2:$F$74,3,0)</f>
        <v>68</v>
      </c>
      <c r="D2325" t="s">
        <v>393</v>
      </c>
      <c r="E2325" s="43" t="s">
        <v>357</v>
      </c>
      <c r="F2325" t="s">
        <v>67</v>
      </c>
      <c r="G2325" s="42">
        <v>1017.23</v>
      </c>
      <c r="H2325" s="35">
        <v>1.2318900000000002</v>
      </c>
      <c r="I2325" s="38">
        <f>IF(H2325&gt;30,QUOTIENT(H2325,30)*VLOOKUP(D2325,'报价表-配送'!$B$61:$I$65,8,0),0)+IF(AND(MOD(H2325,30)&gt;18,MOD(H2325,30)&lt;=30),1,0)*VLOOKUP(D2325,'报价表-配送'!$B$61:$I$65,8,0)</f>
        <v>0</v>
      </c>
      <c r="J2325" s="38">
        <f>IF(AND(MOD(H2325,30)&gt;8,MOD(H2325,30)&lt;=18),1*VLOOKUP(D2325,'报价表-配送'!$B$61:$I$65,7,0),0)</f>
        <v>0</v>
      </c>
      <c r="K2325" s="38">
        <f>IF(AND(MOD(H2325,30)&lt;=8,MOD(H2325,30)&gt;0),1,0)*VLOOKUP(D2325,'报价表-配送'!$B$61:$I$65,6,0)</f>
        <v>0</v>
      </c>
      <c r="N2325" s="38">
        <f t="shared" si="35"/>
        <v>0</v>
      </c>
    </row>
    <row r="2326" spans="1:14" x14ac:dyDescent="0.25">
      <c r="A2326" s="1" t="s">
        <v>241</v>
      </c>
      <c r="B2326" s="43" t="s">
        <v>175</v>
      </c>
      <c r="C2326" s="62">
        <f>VLOOKUP(B2326,合并仓明细!$D$2:$F$74,3,0)</f>
        <v>68</v>
      </c>
      <c r="D2326" t="s">
        <v>393</v>
      </c>
      <c r="E2326" s="43" t="s">
        <v>357</v>
      </c>
      <c r="F2326" t="s">
        <v>66</v>
      </c>
      <c r="G2326" s="42">
        <v>214.66</v>
      </c>
      <c r="I2326" s="46"/>
      <c r="K2326" s="1"/>
      <c r="L2326" s="33"/>
      <c r="M2326" s="1"/>
      <c r="N2326" s="38">
        <f t="shared" si="35"/>
        <v>0</v>
      </c>
    </row>
    <row r="2327" spans="1:14" x14ac:dyDescent="0.25">
      <c r="A2327" s="1" t="s">
        <v>241</v>
      </c>
      <c r="B2327" s="43" t="s">
        <v>175</v>
      </c>
      <c r="C2327" s="62">
        <f>VLOOKUP(B2327,合并仓明细!$D$2:$F$74,3,0)</f>
        <v>68</v>
      </c>
      <c r="D2327" t="s">
        <v>393</v>
      </c>
      <c r="E2327" s="43" t="s">
        <v>320</v>
      </c>
      <c r="F2327" t="s">
        <v>66</v>
      </c>
      <c r="G2327" s="42">
        <v>10.96</v>
      </c>
      <c r="H2327" s="35">
        <v>1.0960000000000001E-2</v>
      </c>
      <c r="L2327" s="37">
        <f>IF(H2327&gt;30,QUOTIENT(H2327,30)*VLOOKUP(D2327,'报价表-配送'!$B$61:$I$65,8,0),0)+IF(AND(MOD(H2327,30)&gt;18,MOD(H2327,30)&lt;=30),1,0)*VLOOKUP(D2327,'报价表-配送'!$B$61:$I$65,8,0)+IF(AND(MOD(H2327,30)&gt;8,MOD(H2327,30)&lt;=18),1*VLOOKUP(D2327,'报价表-配送'!$B$61:$I$65,7,0),0)+IF(AND(MOD(H2327,30)&lt;=8,MOD(H2327,30)&gt;2.5),1,0)*VLOOKUP(D2327,'报价表-配送'!$B$61:$I$65,6,0)+IF(AND(MOD(H2327,30)&lt;=2.5,MOD(H2327,30)&gt;=1.5),1,0)*VLOOKUP(D2327,'报价表-配送'!$B$61:$I$65,5,0)</f>
        <v>0</v>
      </c>
      <c r="M2327" s="39">
        <f>IF(AND(MOD(H2327,30)&lt;1.5,MOD(H2327,30)&gt;=0.5),H2327,0)*VLOOKUP(D2327,'报价表-配送'!$B$61:$I$65,4,0)*1000+IF(AND(MOD(H2327,30)&lt;0.5,MOD(H2327,30)&gt;=0.02),H2327,0)*VLOOKUP(D2327,'报价表-配送'!$B$61:$I$65,3,0)*1000+IF(AND(MOD(H2327,30)&lt;0.02),H2327,0)*VLOOKUP(D2327,'报价表-配送'!$B$61:$I$65,2,0)*1000</f>
        <v>0</v>
      </c>
      <c r="N2327" s="38">
        <f t="shared" si="35"/>
        <v>0</v>
      </c>
    </row>
    <row r="2328" spans="1:14" x14ac:dyDescent="0.25">
      <c r="A2328" s="1" t="s">
        <v>241</v>
      </c>
      <c r="B2328" s="43" t="s">
        <v>175</v>
      </c>
      <c r="C2328" s="62">
        <f>VLOOKUP(B2328,合并仓明细!$D$2:$F$74,3,0)</f>
        <v>68</v>
      </c>
      <c r="D2328" t="s">
        <v>393</v>
      </c>
      <c r="E2328" s="43" t="s">
        <v>321</v>
      </c>
      <c r="F2328" t="s">
        <v>67</v>
      </c>
      <c r="G2328" s="42">
        <v>588.77</v>
      </c>
      <c r="H2328" s="35">
        <v>0.59781999999999991</v>
      </c>
      <c r="I2328" s="38">
        <f>IF(H2328&gt;30,QUOTIENT(H2328,30)*VLOOKUP(D2328,'报价表-配送'!$B$61:$I$65,8,0),0)+IF(AND(MOD(H2328,30)&gt;18,MOD(H2328,30)&lt;=30),1,0)*VLOOKUP(D2328,'报价表-配送'!$B$61:$I$65,8,0)</f>
        <v>0</v>
      </c>
      <c r="J2328" s="38">
        <f>IF(AND(MOD(H2328,30)&gt;8,MOD(H2328,30)&lt;=18),1*VLOOKUP(D2328,'报价表-配送'!$B$61:$I$65,7,0),0)</f>
        <v>0</v>
      </c>
      <c r="K2328" s="38">
        <f>IF(AND(MOD(H2328,30)&lt;=8,MOD(H2328,30)&gt;0),1,0)*VLOOKUP(D2328,'报价表-配送'!$B$61:$I$65,6,0)</f>
        <v>0</v>
      </c>
      <c r="L2328" s="37"/>
      <c r="M2328" s="37"/>
      <c r="N2328" s="38">
        <f t="shared" si="35"/>
        <v>0</v>
      </c>
    </row>
    <row r="2329" spans="1:14" x14ac:dyDescent="0.25">
      <c r="A2329" s="1" t="s">
        <v>241</v>
      </c>
      <c r="B2329" s="43" t="s">
        <v>175</v>
      </c>
      <c r="C2329" s="62">
        <f>VLOOKUP(B2329,合并仓明细!$D$2:$F$74,3,0)</f>
        <v>68</v>
      </c>
      <c r="D2329" t="s">
        <v>393</v>
      </c>
      <c r="E2329" s="43" t="s">
        <v>321</v>
      </c>
      <c r="F2329" t="s">
        <v>66</v>
      </c>
      <c r="G2329" s="42">
        <v>9.0500000000000007</v>
      </c>
      <c r="N2329" s="38">
        <f t="shared" si="35"/>
        <v>0</v>
      </c>
    </row>
    <row r="2330" spans="1:14" x14ac:dyDescent="0.25">
      <c r="A2330" s="1" t="s">
        <v>241</v>
      </c>
      <c r="B2330" s="43" t="s">
        <v>175</v>
      </c>
      <c r="C2330" s="62">
        <f>VLOOKUP(B2330,合并仓明细!$D$2:$F$74,3,0)</f>
        <v>68</v>
      </c>
      <c r="D2330" t="s">
        <v>393</v>
      </c>
      <c r="E2330" s="43" t="s">
        <v>303</v>
      </c>
      <c r="F2330" t="s">
        <v>67</v>
      </c>
      <c r="G2330" s="42">
        <v>16391.13</v>
      </c>
      <c r="H2330" s="35">
        <v>17.488889999999998</v>
      </c>
      <c r="I2330" s="38">
        <f>IF(H2330&gt;30,QUOTIENT(H2330,30)*VLOOKUP(D2330,'报价表-配送'!$B$61:$I$65,8,0),0)+IF(AND(MOD(H2330,30)&gt;18,MOD(H2330,30)&lt;=30),1,0)*VLOOKUP(D2330,'报价表-配送'!$B$61:$I$65,8,0)</f>
        <v>0</v>
      </c>
      <c r="J2330" s="38">
        <f>IF(AND(MOD(H2330,30)&gt;8,MOD(H2330,30)&lt;=18),1*VLOOKUP(D2330,'报价表-配送'!$B$61:$I$65,7,0),0)</f>
        <v>0</v>
      </c>
      <c r="K2330" s="38">
        <f>IF(AND(MOD(H2330,30)&lt;=8,MOD(H2330,30)&gt;0),1,0)*VLOOKUP(D2330,'报价表-配送'!$B$61:$I$65,6,0)</f>
        <v>0</v>
      </c>
      <c r="L2330" s="37"/>
      <c r="M2330" s="37"/>
      <c r="N2330" s="38">
        <f t="shared" si="35"/>
        <v>0</v>
      </c>
    </row>
    <row r="2331" spans="1:14" x14ac:dyDescent="0.25">
      <c r="A2331" s="1" t="s">
        <v>241</v>
      </c>
      <c r="B2331" s="45" t="s">
        <v>175</v>
      </c>
      <c r="C2331" s="62">
        <f>VLOOKUP(B2331,合并仓明细!$D$2:$F$74,3,0)</f>
        <v>68</v>
      </c>
      <c r="D2331" t="s">
        <v>393</v>
      </c>
      <c r="E2331" s="43" t="s">
        <v>303</v>
      </c>
      <c r="F2331" t="s">
        <v>66</v>
      </c>
      <c r="G2331" s="42">
        <v>1097.76</v>
      </c>
      <c r="N2331" s="38">
        <f t="shared" si="35"/>
        <v>0</v>
      </c>
    </row>
    <row r="2332" spans="1:14" x14ac:dyDescent="0.25">
      <c r="A2332" s="1" t="s">
        <v>241</v>
      </c>
      <c r="B2332" s="44" t="s">
        <v>175</v>
      </c>
      <c r="C2332" s="62">
        <f>VLOOKUP(B2332,合并仓明细!$D$2:$F$74,3,0)</f>
        <v>68</v>
      </c>
      <c r="D2332" t="s">
        <v>393</v>
      </c>
      <c r="E2332" s="43" t="s">
        <v>252</v>
      </c>
      <c r="F2332" t="s">
        <v>67</v>
      </c>
      <c r="G2332" s="42">
        <v>27.75</v>
      </c>
      <c r="H2332" s="35">
        <v>3.9899999999999998E-2</v>
      </c>
      <c r="I2332" s="38">
        <f>IF(H2332&gt;30,QUOTIENT(H2332,30)*VLOOKUP(D2332,'报价表-配送'!$B$61:$I$65,8,0),0)+IF(AND(MOD(H2332,30)&gt;18,MOD(H2332,30)&lt;=30),1,0)*VLOOKUP(D2332,'报价表-配送'!$B$61:$I$65,8,0)</f>
        <v>0</v>
      </c>
      <c r="J2332" s="38">
        <f>IF(AND(MOD(H2332,30)&gt;8,MOD(H2332,30)&lt;=18),1*VLOOKUP(D2332,'报价表-配送'!$B$61:$I$65,7,0),0)</f>
        <v>0</v>
      </c>
      <c r="K2332" s="38">
        <f>IF(AND(MOD(H2332,30)&lt;=8,MOD(H2332,30)&gt;0),1,0)*VLOOKUP(D2332,'报价表-配送'!$B$61:$I$65,6,0)</f>
        <v>0</v>
      </c>
      <c r="L2332" s="37"/>
      <c r="M2332" s="39"/>
      <c r="N2332" s="38">
        <f t="shared" si="35"/>
        <v>0</v>
      </c>
    </row>
    <row r="2333" spans="1:14" x14ac:dyDescent="0.25">
      <c r="A2333" s="1" t="s">
        <v>241</v>
      </c>
      <c r="B2333" s="43" t="s">
        <v>175</v>
      </c>
      <c r="C2333" s="62">
        <f>VLOOKUP(B2333,合并仓明细!$D$2:$F$74,3,0)</f>
        <v>68</v>
      </c>
      <c r="D2333" t="s">
        <v>393</v>
      </c>
      <c r="E2333" s="43" t="s">
        <v>252</v>
      </c>
      <c r="F2333" t="s">
        <v>66</v>
      </c>
      <c r="G2333" s="42">
        <v>12.15</v>
      </c>
      <c r="L2333" s="37"/>
      <c r="M2333" s="39"/>
      <c r="N2333" s="38">
        <f t="shared" si="35"/>
        <v>0</v>
      </c>
    </row>
    <row r="2334" spans="1:14" x14ac:dyDescent="0.25">
      <c r="A2334" s="1" t="s">
        <v>241</v>
      </c>
      <c r="B2334" s="43" t="s">
        <v>175</v>
      </c>
      <c r="C2334" s="62">
        <f>VLOOKUP(B2334,合并仓明细!$D$2:$F$74,3,0)</f>
        <v>68</v>
      </c>
      <c r="D2334" t="s">
        <v>393</v>
      </c>
      <c r="E2334" s="43" t="s">
        <v>304</v>
      </c>
      <c r="F2334" t="s">
        <v>68</v>
      </c>
      <c r="G2334" s="42">
        <v>6314.83</v>
      </c>
      <c r="H2334" s="35">
        <v>17.591840000000001</v>
      </c>
      <c r="I2334" s="46">
        <f>ROUNDUP(H2334/30,0)*VLOOKUP(D2334,'报价表-配送'!$B$61:$I$65,8,0)</f>
        <v>0</v>
      </c>
      <c r="L2334" s="37"/>
      <c r="M2334" s="39"/>
      <c r="N2334" s="38">
        <f t="shared" si="35"/>
        <v>0</v>
      </c>
    </row>
    <row r="2335" spans="1:14" x14ac:dyDescent="0.25">
      <c r="A2335" s="1" t="s">
        <v>241</v>
      </c>
      <c r="B2335" s="43" t="s">
        <v>175</v>
      </c>
      <c r="C2335" s="62">
        <f>VLOOKUP(B2335,合并仓明细!$D$2:$F$74,3,0)</f>
        <v>68</v>
      </c>
      <c r="D2335" t="s">
        <v>393</v>
      </c>
      <c r="E2335" s="43" t="s">
        <v>304</v>
      </c>
      <c r="F2335" t="s">
        <v>67</v>
      </c>
      <c r="G2335" s="42">
        <v>7875</v>
      </c>
      <c r="I2335" s="46"/>
      <c r="K2335" s="1"/>
      <c r="L2335" s="33"/>
      <c r="M2335" s="1"/>
      <c r="N2335" s="38">
        <f t="shared" si="35"/>
        <v>0</v>
      </c>
    </row>
    <row r="2336" spans="1:14" x14ac:dyDescent="0.25">
      <c r="A2336" s="1" t="s">
        <v>241</v>
      </c>
      <c r="B2336" s="43" t="s">
        <v>175</v>
      </c>
      <c r="C2336" s="62">
        <f>VLOOKUP(B2336,合并仓明细!$D$2:$F$74,3,0)</f>
        <v>68</v>
      </c>
      <c r="D2336" t="s">
        <v>393</v>
      </c>
      <c r="E2336" s="43" t="s">
        <v>304</v>
      </c>
      <c r="F2336" t="s">
        <v>66</v>
      </c>
      <c r="G2336" s="42">
        <v>3402.0099999999993</v>
      </c>
      <c r="N2336" s="38">
        <f t="shared" si="35"/>
        <v>0</v>
      </c>
    </row>
    <row r="2337" spans="1:14" x14ac:dyDescent="0.25">
      <c r="A2337" s="1" t="s">
        <v>241</v>
      </c>
      <c r="B2337" s="43" t="s">
        <v>175</v>
      </c>
      <c r="C2337" s="62">
        <f>VLOOKUP(B2337,合并仓明细!$D$2:$F$74,3,0)</f>
        <v>68</v>
      </c>
      <c r="D2337" t="s">
        <v>393</v>
      </c>
      <c r="E2337" s="43" t="s">
        <v>376</v>
      </c>
      <c r="F2337" t="s">
        <v>68</v>
      </c>
      <c r="G2337" s="42">
        <v>1039.7400000000002</v>
      </c>
      <c r="H2337" s="35">
        <v>2.2697500000000002</v>
      </c>
      <c r="I2337" s="46">
        <f>ROUNDUP(H2337/30,0)*VLOOKUP(D2337,'报价表-配送'!$B$61:$I$65,8,0)</f>
        <v>0</v>
      </c>
      <c r="L2337" s="37"/>
      <c r="M2337" s="39"/>
      <c r="N2337" s="38">
        <f t="shared" si="35"/>
        <v>0</v>
      </c>
    </row>
    <row r="2338" spans="1:14" x14ac:dyDescent="0.25">
      <c r="A2338" s="1" t="s">
        <v>241</v>
      </c>
      <c r="B2338" s="43" t="s">
        <v>175</v>
      </c>
      <c r="C2338" s="62">
        <f>VLOOKUP(B2338,合并仓明细!$D$2:$F$74,3,0)</f>
        <v>68</v>
      </c>
      <c r="D2338" t="s">
        <v>393</v>
      </c>
      <c r="E2338" s="43" t="s">
        <v>376</v>
      </c>
      <c r="F2338" t="s">
        <v>66</v>
      </c>
      <c r="G2338" s="42">
        <v>1230.01</v>
      </c>
      <c r="L2338" s="37"/>
      <c r="M2338" s="39"/>
      <c r="N2338" s="38">
        <f t="shared" si="35"/>
        <v>0</v>
      </c>
    </row>
    <row r="2339" spans="1:14" x14ac:dyDescent="0.25">
      <c r="A2339" s="1" t="s">
        <v>241</v>
      </c>
      <c r="B2339" s="43" t="s">
        <v>175</v>
      </c>
      <c r="C2339" s="62">
        <f>VLOOKUP(B2339,合并仓明细!$D$2:$F$74,3,0)</f>
        <v>68</v>
      </c>
      <c r="D2339" t="s">
        <v>393</v>
      </c>
      <c r="E2339" s="43" t="s">
        <v>386</v>
      </c>
      <c r="F2339" t="s">
        <v>67</v>
      </c>
      <c r="G2339" s="42">
        <v>354.15</v>
      </c>
      <c r="H2339" s="35">
        <v>0.38264999999999999</v>
      </c>
      <c r="I2339" s="38">
        <f>IF(H2339&gt;30,QUOTIENT(H2339,30)*VLOOKUP(D2339,'报价表-配送'!$B$61:$I$65,8,0),0)+IF(AND(MOD(H2339,30)&gt;18,MOD(H2339,30)&lt;=30),1,0)*VLOOKUP(D2339,'报价表-配送'!$B$61:$I$65,8,0)</f>
        <v>0</v>
      </c>
      <c r="J2339" s="38">
        <f>IF(AND(MOD(H2339,30)&gt;8,MOD(H2339,30)&lt;=18),1*VLOOKUP(D2339,'报价表-配送'!$B$61:$I$65,7,0),0)</f>
        <v>0</v>
      </c>
      <c r="K2339" s="38">
        <f>IF(AND(MOD(H2339,30)&lt;=8,MOD(H2339,30)&gt;0),1,0)*VLOOKUP(D2339,'报价表-配送'!$B$61:$I$65,6,0)</f>
        <v>0</v>
      </c>
      <c r="L2339" s="37"/>
      <c r="M2339" s="39"/>
      <c r="N2339" s="38">
        <f t="shared" si="35"/>
        <v>0</v>
      </c>
    </row>
    <row r="2340" spans="1:14" x14ac:dyDescent="0.25">
      <c r="A2340" s="1" t="s">
        <v>241</v>
      </c>
      <c r="B2340" s="43" t="s">
        <v>175</v>
      </c>
      <c r="C2340" s="62">
        <f>VLOOKUP(B2340,合并仓明细!$D$2:$F$74,3,0)</f>
        <v>68</v>
      </c>
      <c r="D2340" t="s">
        <v>393</v>
      </c>
      <c r="E2340" s="43" t="s">
        <v>386</v>
      </c>
      <c r="F2340" t="s">
        <v>66</v>
      </c>
      <c r="G2340" s="42">
        <v>28.5</v>
      </c>
      <c r="L2340" s="37"/>
      <c r="M2340" s="39"/>
      <c r="N2340" s="38">
        <f t="shared" si="35"/>
        <v>0</v>
      </c>
    </row>
    <row r="2341" spans="1:14" x14ac:dyDescent="0.25">
      <c r="A2341" s="1" t="s">
        <v>241</v>
      </c>
      <c r="B2341" s="43" t="s">
        <v>175</v>
      </c>
      <c r="C2341" s="62">
        <f>VLOOKUP(B2341,合并仓明细!$D$2:$F$74,3,0)</f>
        <v>68</v>
      </c>
      <c r="D2341" t="s">
        <v>393</v>
      </c>
      <c r="E2341" s="43" t="s">
        <v>331</v>
      </c>
      <c r="F2341" t="s">
        <v>67</v>
      </c>
      <c r="G2341" s="42">
        <v>1698.06</v>
      </c>
      <c r="H2341" s="35">
        <v>1.6980599999999999</v>
      </c>
      <c r="I2341" s="38">
        <f>IF(H2341&gt;30,QUOTIENT(H2341,30)*VLOOKUP(D2341,'报价表-配送'!$B$61:$I$65,8,0),0)+IF(AND(MOD(H2341,30)&gt;18,MOD(H2341,30)&lt;=30),1,0)*VLOOKUP(D2341,'报价表-配送'!$B$61:$I$65,8,0)</f>
        <v>0</v>
      </c>
      <c r="J2341" s="38">
        <f>IF(AND(MOD(H2341,30)&gt;8,MOD(H2341,30)&lt;=18),1*VLOOKUP(D2341,'报价表-配送'!$B$61:$I$65,7,0),0)</f>
        <v>0</v>
      </c>
      <c r="K2341" s="38">
        <f>IF(AND(MOD(H2341,30)&lt;=8,MOD(H2341,30)&gt;0),1,0)*VLOOKUP(D2341,'报价表-配送'!$B$61:$I$65,6,0)</f>
        <v>0</v>
      </c>
      <c r="L2341" s="33"/>
      <c r="M2341" s="1"/>
      <c r="N2341" s="38">
        <f t="shared" si="35"/>
        <v>0</v>
      </c>
    </row>
    <row r="2342" spans="1:14" x14ac:dyDescent="0.25">
      <c r="A2342" s="1" t="s">
        <v>83</v>
      </c>
      <c r="B2342" s="43" t="s">
        <v>143</v>
      </c>
      <c r="C2342" s="62">
        <f>VLOOKUP(B2342,合并仓明细!$D$2:$F$74,3,0)</f>
        <v>131</v>
      </c>
      <c r="D2342" t="s">
        <v>413</v>
      </c>
      <c r="E2342" s="43" t="s">
        <v>261</v>
      </c>
      <c r="F2342" t="s">
        <v>67</v>
      </c>
      <c r="G2342" s="42">
        <v>3657.83</v>
      </c>
      <c r="H2342" s="35">
        <v>3.7841900000000002</v>
      </c>
      <c r="I2342" s="38">
        <f>IF(H2342&gt;30,QUOTIENT(H2342,30)*VLOOKUP(D2342,'报价表-配送'!$B$9:$I$13,8,0),0)+IF(AND(MOD(H2342,30)&gt;18,MOD(H2342,30)&lt;=30),1,0)*VLOOKUP(D2342,'报价表-配送'!$B$9:$I$13,8,0)</f>
        <v>0</v>
      </c>
      <c r="J2342" s="38">
        <f>IF(AND(MOD(H2342,30)&gt;8,MOD(H2342,30)&lt;=18),1*VLOOKUP(D2342,'报价表-配送'!$B$9:$I$13,7,0),0)</f>
        <v>0</v>
      </c>
      <c r="K2342" s="38">
        <f>IF(AND(MOD(H2342,30)&lt;=8,MOD(H2342,30)&gt;0),1,0)*VLOOKUP(D2342,'报价表-配送'!$B$9:$I$13,6,0)</f>
        <v>0</v>
      </c>
      <c r="N2342" s="38">
        <f t="shared" si="35"/>
        <v>0</v>
      </c>
    </row>
    <row r="2343" spans="1:14" x14ac:dyDescent="0.25">
      <c r="A2343" s="1" t="s">
        <v>83</v>
      </c>
      <c r="B2343" s="43" t="s">
        <v>143</v>
      </c>
      <c r="C2343" s="62">
        <f>VLOOKUP(B2343,合并仓明细!$D$2:$F$74,3,0)</f>
        <v>131</v>
      </c>
      <c r="D2343" t="s">
        <v>413</v>
      </c>
      <c r="E2343" s="43" t="s">
        <v>261</v>
      </c>
      <c r="F2343" t="s">
        <v>66</v>
      </c>
      <c r="G2343" s="42">
        <v>126.36000000000001</v>
      </c>
      <c r="I2343" s="52"/>
      <c r="J2343" s="52"/>
      <c r="K2343" s="52"/>
      <c r="L2343" s="37"/>
      <c r="M2343" s="37"/>
      <c r="N2343" s="38">
        <f t="shared" si="35"/>
        <v>0</v>
      </c>
    </row>
    <row r="2344" spans="1:14" x14ac:dyDescent="0.25">
      <c r="A2344" s="1" t="s">
        <v>83</v>
      </c>
      <c r="B2344" s="43" t="s">
        <v>143</v>
      </c>
      <c r="C2344" s="62">
        <f>VLOOKUP(B2344,合并仓明细!$D$2:$F$74,3,0)</f>
        <v>131</v>
      </c>
      <c r="D2344" t="s">
        <v>413</v>
      </c>
      <c r="E2344" s="43" t="s">
        <v>306</v>
      </c>
      <c r="F2344" t="s">
        <v>66</v>
      </c>
      <c r="G2344" s="42">
        <v>0.81</v>
      </c>
      <c r="H2344" s="35">
        <v>8.1000000000000006E-4</v>
      </c>
      <c r="L2344" s="37">
        <f>IF(H2344&gt;30,QUOTIENT(H2344,30)*VLOOKUP(D2344,'报价表-配送'!$B$9:$I$13,8,0),0)+IF(AND(MOD(H2344,30)&gt;18,MOD(H2344,30)&lt;=30),1,0)*VLOOKUP(D2344,'报价表-配送'!$B$9:$I$13,8,0)+IF(AND(MOD(H2344,30)&gt;8,MOD(H2344,30)&lt;=18),1*VLOOKUP(D2344,'报价表-配送'!$B$9:$I$13,7,0),0)+IF(AND(MOD(H2344,30)&lt;=8,MOD(H2344,30)&gt;2.5),1,0)*VLOOKUP(D2344,'报价表-配送'!$B$9:$I$13,6,0)+IF(AND(MOD(H2344,30)&lt;=2.5,MOD(H2344,30)&gt;=1.5),1,0)*VLOOKUP(D2344,'报价表-配送'!$B$9:$I$13,5,0)</f>
        <v>0</v>
      </c>
      <c r="M2344" s="39">
        <f>IF(AND(MOD(H2344,30)&lt;1.5,MOD(H2344,30)&gt;=0.5),H2344,0)*VLOOKUP(D2344,'报价表-配送'!$B$9:$I$13,4,0)*1000+IF(AND(MOD(H2344,30)&lt;0.5,MOD(H2344,30)&gt;=0.02),H2344,0)*VLOOKUP(D2344,'报价表-配送'!$B$9:$I$13,3,0)*1000+IF(AND(MOD(H2344,30)&lt;0.02),H2344,0)*VLOOKUP(D2344,'报价表-配送'!$B$9:$I$13,2,0)*1000</f>
        <v>0</v>
      </c>
      <c r="N2344" s="38">
        <f t="shared" si="35"/>
        <v>0</v>
      </c>
    </row>
    <row r="2345" spans="1:14" x14ac:dyDescent="0.25">
      <c r="A2345" s="1" t="s">
        <v>83</v>
      </c>
      <c r="B2345" s="43" t="s">
        <v>143</v>
      </c>
      <c r="C2345" s="62">
        <f>VLOOKUP(B2345,合并仓明细!$D$2:$F$74,3,0)</f>
        <v>131</v>
      </c>
      <c r="D2345" t="s">
        <v>413</v>
      </c>
      <c r="E2345" s="43" t="s">
        <v>263</v>
      </c>
      <c r="F2345" t="s">
        <v>68</v>
      </c>
      <c r="G2345" s="42">
        <v>779.79</v>
      </c>
      <c r="H2345" s="35">
        <v>3.5065599999999999</v>
      </c>
      <c r="I2345" s="46">
        <f>ROUNDUP(H2345/30,0)*VLOOKUP(D2345,'报价表-配送'!$B$9:$I$13,8,0)</f>
        <v>0</v>
      </c>
      <c r="J2345" s="52"/>
      <c r="K2345" s="52"/>
      <c r="L2345" s="37"/>
      <c r="M2345" s="37"/>
      <c r="N2345" s="38">
        <f t="shared" si="35"/>
        <v>0</v>
      </c>
    </row>
    <row r="2346" spans="1:14" x14ac:dyDescent="0.25">
      <c r="A2346" s="1" t="s">
        <v>83</v>
      </c>
      <c r="B2346" s="43" t="s">
        <v>143</v>
      </c>
      <c r="C2346" s="62">
        <f>VLOOKUP(B2346,合并仓明细!$D$2:$F$74,3,0)</f>
        <v>131</v>
      </c>
      <c r="D2346" t="s">
        <v>413</v>
      </c>
      <c r="E2346" s="43" t="s">
        <v>263</v>
      </c>
      <c r="F2346" t="s">
        <v>67</v>
      </c>
      <c r="G2346" s="42">
        <v>2047.2800000000002</v>
      </c>
      <c r="N2346" s="38">
        <f t="shared" si="35"/>
        <v>0</v>
      </c>
    </row>
    <row r="2347" spans="1:14" x14ac:dyDescent="0.25">
      <c r="A2347" s="1" t="s">
        <v>83</v>
      </c>
      <c r="B2347" s="43" t="s">
        <v>143</v>
      </c>
      <c r="C2347" s="62">
        <f>VLOOKUP(B2347,合并仓明细!$D$2:$F$74,3,0)</f>
        <v>131</v>
      </c>
      <c r="D2347" t="s">
        <v>413</v>
      </c>
      <c r="E2347" s="43" t="s">
        <v>263</v>
      </c>
      <c r="F2347" t="s">
        <v>66</v>
      </c>
      <c r="G2347" s="42">
        <v>679.4899999999999</v>
      </c>
      <c r="I2347" s="46"/>
      <c r="K2347" s="1"/>
      <c r="L2347" s="33"/>
      <c r="M2347" s="1"/>
      <c r="N2347" s="38">
        <f t="shared" si="35"/>
        <v>0</v>
      </c>
    </row>
    <row r="2348" spans="1:14" x14ac:dyDescent="0.25">
      <c r="A2348" s="1" t="s">
        <v>83</v>
      </c>
      <c r="B2348" s="43" t="s">
        <v>143</v>
      </c>
      <c r="C2348" s="62">
        <f>VLOOKUP(B2348,合并仓明细!$D$2:$F$74,3,0)</f>
        <v>131</v>
      </c>
      <c r="D2348" t="s">
        <v>413</v>
      </c>
      <c r="E2348" s="43" t="s">
        <v>307</v>
      </c>
      <c r="F2348" t="s">
        <v>68</v>
      </c>
      <c r="G2348" s="42">
        <v>815.30000000000007</v>
      </c>
      <c r="H2348" s="35">
        <v>7.2670399999999988</v>
      </c>
      <c r="I2348" s="46">
        <f>ROUNDUP(H2348/30,0)*VLOOKUP(D2348,'报价表-配送'!$B$9:$I$13,8,0)</f>
        <v>0</v>
      </c>
      <c r="N2348" s="38">
        <f t="shared" ref="N2348:N2411" si="36">SUM(I2348:M2348)</f>
        <v>0</v>
      </c>
    </row>
    <row r="2349" spans="1:14" x14ac:dyDescent="0.25">
      <c r="A2349" s="1" t="s">
        <v>83</v>
      </c>
      <c r="B2349" s="43" t="s">
        <v>143</v>
      </c>
      <c r="C2349" s="62">
        <f>VLOOKUP(B2349,合并仓明细!$D$2:$F$74,3,0)</f>
        <v>131</v>
      </c>
      <c r="D2349" t="s">
        <v>413</v>
      </c>
      <c r="E2349" s="43" t="s">
        <v>307</v>
      </c>
      <c r="F2349" t="s">
        <v>67</v>
      </c>
      <c r="G2349" s="42">
        <v>4996.71</v>
      </c>
      <c r="N2349" s="38">
        <f t="shared" si="36"/>
        <v>0</v>
      </c>
    </row>
    <row r="2350" spans="1:14" x14ac:dyDescent="0.25">
      <c r="A2350" s="1" t="s">
        <v>83</v>
      </c>
      <c r="B2350" s="43" t="s">
        <v>143</v>
      </c>
      <c r="C2350" s="62">
        <f>VLOOKUP(B2350,合并仓明细!$D$2:$F$74,3,0)</f>
        <v>131</v>
      </c>
      <c r="D2350" t="s">
        <v>413</v>
      </c>
      <c r="E2350" s="43" t="s">
        <v>307</v>
      </c>
      <c r="F2350" t="s">
        <v>66</v>
      </c>
      <c r="G2350" s="42">
        <v>1455.0299999999993</v>
      </c>
      <c r="I2350" s="52"/>
      <c r="J2350" s="52"/>
      <c r="K2350" s="52"/>
      <c r="L2350" s="37"/>
      <c r="M2350" s="37"/>
      <c r="N2350" s="38">
        <f t="shared" si="36"/>
        <v>0</v>
      </c>
    </row>
    <row r="2351" spans="1:14" x14ac:dyDescent="0.25">
      <c r="A2351" s="1" t="s">
        <v>83</v>
      </c>
      <c r="B2351" s="43" t="s">
        <v>143</v>
      </c>
      <c r="C2351" s="62">
        <f>VLOOKUP(B2351,合并仓明细!$D$2:$F$74,3,0)</f>
        <v>131</v>
      </c>
      <c r="D2351" t="s">
        <v>413</v>
      </c>
      <c r="E2351" s="43" t="s">
        <v>264</v>
      </c>
      <c r="F2351" t="s">
        <v>67</v>
      </c>
      <c r="G2351" s="42">
        <v>34.35</v>
      </c>
      <c r="H2351" s="35">
        <v>0.15425999999999998</v>
      </c>
      <c r="I2351" s="38">
        <f>IF(H2351&gt;30,QUOTIENT(H2351,30)*VLOOKUP(D2351,'报价表-配送'!$B$9:$I$13,8,0),0)+IF(AND(MOD(H2351,30)&gt;18,MOD(H2351,30)&lt;=30),1,0)*VLOOKUP(D2351,'报价表-配送'!$B$9:$I$13,8,0)</f>
        <v>0</v>
      </c>
      <c r="J2351" s="38">
        <f>IF(AND(MOD(H2351,30)&gt;8,MOD(H2351,30)&lt;=18),1*VLOOKUP(D2351,'报价表-配送'!$B$9:$I$13,7,0),0)</f>
        <v>0</v>
      </c>
      <c r="K2351" s="38">
        <f>IF(AND(MOD(H2351,30)&lt;=8,MOD(H2351,30)&gt;0),1,0)*VLOOKUP(D2351,'报价表-配送'!$B$9:$I$13,6,0)</f>
        <v>0</v>
      </c>
      <c r="N2351" s="38">
        <f t="shared" si="36"/>
        <v>0</v>
      </c>
    </row>
    <row r="2352" spans="1:14" x14ac:dyDescent="0.25">
      <c r="A2352" s="1" t="s">
        <v>83</v>
      </c>
      <c r="B2352" s="43" t="s">
        <v>143</v>
      </c>
      <c r="C2352" s="62">
        <f>VLOOKUP(B2352,合并仓明细!$D$2:$F$74,3,0)</f>
        <v>131</v>
      </c>
      <c r="D2352" t="s">
        <v>413</v>
      </c>
      <c r="E2352" s="43" t="s">
        <v>264</v>
      </c>
      <c r="F2352" t="s">
        <v>66</v>
      </c>
      <c r="G2352" s="42">
        <v>119.91</v>
      </c>
      <c r="L2352" s="37"/>
      <c r="M2352" s="39"/>
      <c r="N2352" s="38">
        <f t="shared" si="36"/>
        <v>0</v>
      </c>
    </row>
    <row r="2353" spans="1:14" x14ac:dyDescent="0.25">
      <c r="A2353" s="1" t="s">
        <v>83</v>
      </c>
      <c r="B2353" s="43" t="s">
        <v>143</v>
      </c>
      <c r="C2353" s="62">
        <f>VLOOKUP(B2353,合并仓明细!$D$2:$F$74,3,0)</f>
        <v>131</v>
      </c>
      <c r="D2353" t="s">
        <v>413</v>
      </c>
      <c r="E2353" s="43" t="s">
        <v>308</v>
      </c>
      <c r="F2353" t="s">
        <v>66</v>
      </c>
      <c r="G2353" s="42">
        <v>1581.5600000000002</v>
      </c>
      <c r="H2353" s="35">
        <v>1.5815600000000001</v>
      </c>
      <c r="L2353" s="37">
        <f>IF(H2353&gt;30,QUOTIENT(H2353,30)*VLOOKUP(D2353,'报价表-配送'!$B$9:$I$13,8,0),0)+IF(AND(MOD(H2353,30)&gt;18,MOD(H2353,30)&lt;=30),1,0)*VLOOKUP(D2353,'报价表-配送'!$B$9:$I$13,8,0)+IF(AND(MOD(H2353,30)&gt;8,MOD(H2353,30)&lt;=18),1*VLOOKUP(D2353,'报价表-配送'!$B$9:$I$13,7,0),0)+IF(AND(MOD(H2353,30)&lt;=8,MOD(H2353,30)&gt;2.5),1,0)*VLOOKUP(D2353,'报价表-配送'!$B$9:$I$13,6,0)+IF(AND(MOD(H2353,30)&lt;=2.5,MOD(H2353,30)&gt;=1.5),1,0)*VLOOKUP(D2353,'报价表-配送'!$B$9:$I$13,5,0)</f>
        <v>0</v>
      </c>
      <c r="M2353" s="39">
        <f>IF(AND(MOD(H2353,30)&lt;1.5,MOD(H2353,30)&gt;=0.5),H2353,0)*VLOOKUP(D2353,'报价表-配送'!$B$9:$I$13,4,0)*1000+IF(AND(MOD(H2353,30)&lt;0.5,MOD(H2353,30)&gt;=0.02),H2353,0)*VLOOKUP(D2353,'报价表-配送'!$B$9:$I$13,3,0)*1000+IF(AND(MOD(H2353,30)&lt;0.02),H2353,0)*VLOOKUP(D2353,'报价表-配送'!$B$9:$I$13,2,0)*1000</f>
        <v>0</v>
      </c>
      <c r="N2353" s="38">
        <f t="shared" si="36"/>
        <v>0</v>
      </c>
    </row>
    <row r="2354" spans="1:14" x14ac:dyDescent="0.25">
      <c r="A2354" s="1" t="s">
        <v>83</v>
      </c>
      <c r="B2354" s="43" t="s">
        <v>143</v>
      </c>
      <c r="C2354" s="62">
        <f>VLOOKUP(B2354,合并仓明细!$D$2:$F$74,3,0)</f>
        <v>131</v>
      </c>
      <c r="D2354" t="s">
        <v>413</v>
      </c>
      <c r="E2354" s="43" t="s">
        <v>344</v>
      </c>
      <c r="F2354" t="s">
        <v>68</v>
      </c>
      <c r="G2354" s="42">
        <v>677.7</v>
      </c>
      <c r="H2354" s="35">
        <v>2.8546600000000009</v>
      </c>
      <c r="I2354" s="46">
        <f>ROUNDUP(H2354/30,0)*VLOOKUP(D2354,'报价表-配送'!$B$9:$I$13,8,0)</f>
        <v>0</v>
      </c>
      <c r="K2354" s="1"/>
      <c r="L2354" s="33"/>
      <c r="M2354" s="1"/>
      <c r="N2354" s="38">
        <f t="shared" si="36"/>
        <v>0</v>
      </c>
    </row>
    <row r="2355" spans="1:14" x14ac:dyDescent="0.25">
      <c r="A2355" s="1" t="s">
        <v>83</v>
      </c>
      <c r="B2355" s="43" t="s">
        <v>143</v>
      </c>
      <c r="C2355" s="62">
        <f>VLOOKUP(B2355,合并仓明细!$D$2:$F$74,3,0)</f>
        <v>131</v>
      </c>
      <c r="D2355" t="s">
        <v>413</v>
      </c>
      <c r="E2355" s="43" t="s">
        <v>344</v>
      </c>
      <c r="F2355" t="s">
        <v>67</v>
      </c>
      <c r="G2355" s="42">
        <v>1572.31</v>
      </c>
      <c r="N2355" s="38">
        <f t="shared" si="36"/>
        <v>0</v>
      </c>
    </row>
    <row r="2356" spans="1:14" x14ac:dyDescent="0.25">
      <c r="A2356" s="1" t="s">
        <v>83</v>
      </c>
      <c r="B2356" s="43" t="s">
        <v>143</v>
      </c>
      <c r="C2356" s="62">
        <f>VLOOKUP(B2356,合并仓明细!$D$2:$F$74,3,0)</f>
        <v>131</v>
      </c>
      <c r="D2356" t="s">
        <v>413</v>
      </c>
      <c r="E2356" s="43" t="s">
        <v>344</v>
      </c>
      <c r="F2356" t="s">
        <v>66</v>
      </c>
      <c r="G2356" s="42">
        <v>604.65000000000043</v>
      </c>
      <c r="N2356" s="38">
        <f t="shared" si="36"/>
        <v>0</v>
      </c>
    </row>
    <row r="2357" spans="1:14" x14ac:dyDescent="0.25">
      <c r="A2357" s="1" t="s">
        <v>83</v>
      </c>
      <c r="B2357" s="43" t="s">
        <v>143</v>
      </c>
      <c r="C2357" s="62">
        <f>VLOOKUP(B2357,合并仓明细!$D$2:$F$74,3,0)</f>
        <v>131</v>
      </c>
      <c r="D2357" t="s">
        <v>413</v>
      </c>
      <c r="E2357" s="43" t="s">
        <v>265</v>
      </c>
      <c r="F2357" t="s">
        <v>66</v>
      </c>
      <c r="G2357" s="42">
        <v>75.539999999999992</v>
      </c>
      <c r="H2357" s="35">
        <v>7.5539999999999996E-2</v>
      </c>
      <c r="I2357" s="52"/>
      <c r="J2357" s="52"/>
      <c r="K2357" s="52"/>
      <c r="L2357" s="37">
        <f>IF(H2357&gt;30,QUOTIENT(H2357,30)*VLOOKUP(D2357,'报价表-配送'!$B$9:$I$13,8,0),0)+IF(AND(MOD(H2357,30)&gt;18,MOD(H2357,30)&lt;=30),1,0)*VLOOKUP(D2357,'报价表-配送'!$B$9:$I$13,8,0)+IF(AND(MOD(H2357,30)&gt;8,MOD(H2357,30)&lt;=18),1*VLOOKUP(D2357,'报价表-配送'!$B$9:$I$13,7,0),0)+IF(AND(MOD(H2357,30)&lt;=8,MOD(H2357,30)&gt;2.5),1,0)*VLOOKUP(D2357,'报价表-配送'!$B$9:$I$13,6,0)+IF(AND(MOD(H2357,30)&lt;=2.5,MOD(H2357,30)&gt;=1.5),1,0)*VLOOKUP(D2357,'报价表-配送'!$B$9:$I$13,5,0)</f>
        <v>0</v>
      </c>
      <c r="M2357" s="39">
        <f>IF(AND(MOD(H2357,30)&lt;1.5,MOD(H2357,30)&gt;=0.5),H2357,0)*VLOOKUP(D2357,'报价表-配送'!$B$9:$I$13,4,0)*1000+IF(AND(MOD(H2357,30)&lt;0.5,MOD(H2357,30)&gt;=0.02),H2357,0)*VLOOKUP(D2357,'报价表-配送'!$B$9:$I$13,3,0)*1000+IF(AND(MOD(H2357,30)&lt;0.02),H2357,0)*VLOOKUP(D2357,'报价表-配送'!$B$9:$I$13,2,0)*1000</f>
        <v>0</v>
      </c>
      <c r="N2357" s="38">
        <f t="shared" si="36"/>
        <v>0</v>
      </c>
    </row>
    <row r="2358" spans="1:14" x14ac:dyDescent="0.25">
      <c r="A2358" s="1" t="s">
        <v>83</v>
      </c>
      <c r="B2358" s="43" t="s">
        <v>143</v>
      </c>
      <c r="C2358" s="62">
        <f>VLOOKUP(B2358,合并仓明细!$D$2:$F$74,3,0)</f>
        <v>131</v>
      </c>
      <c r="D2358" t="s">
        <v>413</v>
      </c>
      <c r="E2358" s="43" t="s">
        <v>333</v>
      </c>
      <c r="F2358" t="s">
        <v>68</v>
      </c>
      <c r="G2358" s="42">
        <v>301.16999999999996</v>
      </c>
      <c r="H2358" s="35">
        <v>0.61793999999999993</v>
      </c>
      <c r="I2358" s="46">
        <f>ROUNDUP(H2358/30,0)*VLOOKUP(D2358,'报价表-配送'!$B$9:$I$13,8,0)</f>
        <v>0</v>
      </c>
      <c r="N2358" s="38">
        <f t="shared" si="36"/>
        <v>0</v>
      </c>
    </row>
    <row r="2359" spans="1:14" x14ac:dyDescent="0.25">
      <c r="A2359" s="1" t="s">
        <v>83</v>
      </c>
      <c r="B2359" s="43" t="s">
        <v>143</v>
      </c>
      <c r="C2359" s="62">
        <f>VLOOKUP(B2359,合并仓明细!$D$2:$F$74,3,0)</f>
        <v>131</v>
      </c>
      <c r="D2359" t="s">
        <v>413</v>
      </c>
      <c r="E2359" s="43" t="s">
        <v>333</v>
      </c>
      <c r="F2359" t="s">
        <v>67</v>
      </c>
      <c r="G2359" s="42">
        <v>136.28</v>
      </c>
      <c r="I2359" s="52"/>
      <c r="J2359" s="52"/>
      <c r="K2359" s="52"/>
      <c r="L2359" s="37"/>
      <c r="M2359" s="37"/>
      <c r="N2359" s="38">
        <f t="shared" si="36"/>
        <v>0</v>
      </c>
    </row>
    <row r="2360" spans="1:14" x14ac:dyDescent="0.25">
      <c r="A2360" s="1" t="s">
        <v>83</v>
      </c>
      <c r="B2360" s="43" t="s">
        <v>143</v>
      </c>
      <c r="C2360" s="62">
        <f>VLOOKUP(B2360,合并仓明细!$D$2:$F$74,3,0)</f>
        <v>131</v>
      </c>
      <c r="D2360" t="s">
        <v>413</v>
      </c>
      <c r="E2360" s="43" t="s">
        <v>333</v>
      </c>
      <c r="F2360" t="s">
        <v>66</v>
      </c>
      <c r="G2360" s="42">
        <v>180.49</v>
      </c>
      <c r="N2360" s="38">
        <f t="shared" si="36"/>
        <v>0</v>
      </c>
    </row>
    <row r="2361" spans="1:14" x14ac:dyDescent="0.25">
      <c r="A2361" s="1" t="s">
        <v>83</v>
      </c>
      <c r="B2361" s="43" t="s">
        <v>143</v>
      </c>
      <c r="C2361" s="62">
        <f>VLOOKUP(B2361,合并仓明细!$D$2:$F$74,3,0)</f>
        <v>131</v>
      </c>
      <c r="D2361" t="s">
        <v>413</v>
      </c>
      <c r="E2361" s="43" t="s">
        <v>257</v>
      </c>
      <c r="F2361" t="s">
        <v>66</v>
      </c>
      <c r="G2361" s="42">
        <v>43.36</v>
      </c>
      <c r="H2361" s="35">
        <v>4.3360000000000003E-2</v>
      </c>
      <c r="I2361" s="46"/>
      <c r="K2361" s="1"/>
      <c r="L2361" s="37">
        <f>IF(H2361&gt;30,QUOTIENT(H2361,30)*VLOOKUP(D2361,'报价表-配送'!$B$9:$I$13,8,0),0)+IF(AND(MOD(H2361,30)&gt;18,MOD(H2361,30)&lt;=30),1,0)*VLOOKUP(D2361,'报价表-配送'!$B$9:$I$13,8,0)+IF(AND(MOD(H2361,30)&gt;8,MOD(H2361,30)&lt;=18),1*VLOOKUP(D2361,'报价表-配送'!$B$9:$I$13,7,0),0)+IF(AND(MOD(H2361,30)&lt;=8,MOD(H2361,30)&gt;2.5),1,0)*VLOOKUP(D2361,'报价表-配送'!$B$9:$I$13,6,0)+IF(AND(MOD(H2361,30)&lt;=2.5,MOD(H2361,30)&gt;=1.5),1,0)*VLOOKUP(D2361,'报价表-配送'!$B$9:$I$13,5,0)</f>
        <v>0</v>
      </c>
      <c r="M2361" s="39">
        <f>IF(AND(MOD(H2361,30)&lt;1.5,MOD(H2361,30)&gt;=0.5),H2361,0)*VLOOKUP(D2361,'报价表-配送'!$B$9:$I$13,4,0)*1000+IF(AND(MOD(H2361,30)&lt;0.5,MOD(H2361,30)&gt;=0.02),H2361,0)*VLOOKUP(D2361,'报价表-配送'!$B$9:$I$13,3,0)*1000+IF(AND(MOD(H2361,30)&lt;0.02),H2361,0)*VLOOKUP(D2361,'报价表-配送'!$B$9:$I$13,2,0)*1000</f>
        <v>0</v>
      </c>
      <c r="N2361" s="38">
        <f t="shared" si="36"/>
        <v>0</v>
      </c>
    </row>
    <row r="2362" spans="1:14" x14ac:dyDescent="0.25">
      <c r="A2362" s="1" t="s">
        <v>83</v>
      </c>
      <c r="B2362" s="43" t="s">
        <v>143</v>
      </c>
      <c r="C2362" s="62">
        <f>VLOOKUP(B2362,合并仓明细!$D$2:$F$74,3,0)</f>
        <v>131</v>
      </c>
      <c r="D2362" t="s">
        <v>413</v>
      </c>
      <c r="E2362" s="43" t="s">
        <v>369</v>
      </c>
      <c r="F2362" t="s">
        <v>66</v>
      </c>
      <c r="G2362" s="42">
        <v>116.65</v>
      </c>
      <c r="H2362" s="35">
        <v>0.11665</v>
      </c>
      <c r="L2362" s="37">
        <f>IF(H2362&gt;30,QUOTIENT(H2362,30)*VLOOKUP(D2362,'报价表-配送'!$B$9:$I$13,8,0),0)+IF(AND(MOD(H2362,30)&gt;18,MOD(H2362,30)&lt;=30),1,0)*VLOOKUP(D2362,'报价表-配送'!$B$9:$I$13,8,0)+IF(AND(MOD(H2362,30)&gt;8,MOD(H2362,30)&lt;=18),1*VLOOKUP(D2362,'报价表-配送'!$B$9:$I$13,7,0),0)+IF(AND(MOD(H2362,30)&lt;=8,MOD(H2362,30)&gt;2.5),1,0)*VLOOKUP(D2362,'报价表-配送'!$B$9:$I$13,6,0)+IF(AND(MOD(H2362,30)&lt;=2.5,MOD(H2362,30)&gt;=1.5),1,0)*VLOOKUP(D2362,'报价表-配送'!$B$9:$I$13,5,0)</f>
        <v>0</v>
      </c>
      <c r="M2362" s="39">
        <f>IF(AND(MOD(H2362,30)&lt;1.5,MOD(H2362,30)&gt;=0.5),H2362,0)*VLOOKUP(D2362,'报价表-配送'!$B$9:$I$13,4,0)*1000+IF(AND(MOD(H2362,30)&lt;0.5,MOD(H2362,30)&gt;=0.02),H2362,0)*VLOOKUP(D2362,'报价表-配送'!$B$9:$I$13,3,0)*1000+IF(AND(MOD(H2362,30)&lt;0.02),H2362,0)*VLOOKUP(D2362,'报价表-配送'!$B$9:$I$13,2,0)*1000</f>
        <v>0</v>
      </c>
      <c r="N2362" s="38">
        <f t="shared" si="36"/>
        <v>0</v>
      </c>
    </row>
    <row r="2363" spans="1:14" x14ac:dyDescent="0.25">
      <c r="A2363" s="1" t="s">
        <v>83</v>
      </c>
      <c r="B2363" s="43" t="s">
        <v>143</v>
      </c>
      <c r="C2363" s="62">
        <f>VLOOKUP(B2363,合并仓明细!$D$2:$F$74,3,0)</f>
        <v>131</v>
      </c>
      <c r="D2363" t="s">
        <v>413</v>
      </c>
      <c r="E2363" s="43" t="s">
        <v>266</v>
      </c>
      <c r="F2363" t="s">
        <v>68</v>
      </c>
      <c r="G2363" s="42">
        <v>1255.5100000000002</v>
      </c>
      <c r="H2363" s="35">
        <v>2.9382299999999999</v>
      </c>
      <c r="I2363" s="46">
        <f>ROUNDUP(H2363/30,0)*VLOOKUP(D2363,'报价表-配送'!$B$9:$I$13,8,0)</f>
        <v>0</v>
      </c>
      <c r="N2363" s="38">
        <f t="shared" si="36"/>
        <v>0</v>
      </c>
    </row>
    <row r="2364" spans="1:14" x14ac:dyDescent="0.25">
      <c r="A2364" s="1" t="s">
        <v>83</v>
      </c>
      <c r="B2364" s="43" t="s">
        <v>143</v>
      </c>
      <c r="C2364" s="62">
        <f>VLOOKUP(B2364,合并仓明细!$D$2:$F$74,3,0)</f>
        <v>131</v>
      </c>
      <c r="D2364" t="s">
        <v>413</v>
      </c>
      <c r="E2364" s="43" t="s">
        <v>266</v>
      </c>
      <c r="F2364" t="s">
        <v>67</v>
      </c>
      <c r="G2364" s="42">
        <v>605.49</v>
      </c>
      <c r="L2364" s="37"/>
      <c r="M2364" s="39"/>
      <c r="N2364" s="38">
        <f t="shared" si="36"/>
        <v>0</v>
      </c>
    </row>
    <row r="2365" spans="1:14" x14ac:dyDescent="0.25">
      <c r="A2365" s="1" t="s">
        <v>83</v>
      </c>
      <c r="B2365" s="45" t="s">
        <v>143</v>
      </c>
      <c r="C2365" s="62">
        <f>VLOOKUP(B2365,合并仓明细!$D$2:$F$74,3,0)</f>
        <v>131</v>
      </c>
      <c r="D2365" t="s">
        <v>413</v>
      </c>
      <c r="E2365" s="43" t="s">
        <v>266</v>
      </c>
      <c r="F2365" t="s">
        <v>66</v>
      </c>
      <c r="G2365" s="42">
        <v>1077.2299999999998</v>
      </c>
      <c r="L2365" s="37"/>
      <c r="M2365" s="39"/>
      <c r="N2365" s="38">
        <f t="shared" si="36"/>
        <v>0</v>
      </c>
    </row>
    <row r="2366" spans="1:14" x14ac:dyDescent="0.25">
      <c r="A2366" s="1" t="s">
        <v>83</v>
      </c>
      <c r="B2366" s="44" t="s">
        <v>143</v>
      </c>
      <c r="C2366" s="62">
        <f>VLOOKUP(B2366,合并仓明细!$D$2:$F$74,3,0)</f>
        <v>131</v>
      </c>
      <c r="D2366" t="s">
        <v>413</v>
      </c>
      <c r="E2366" s="43" t="s">
        <v>309</v>
      </c>
      <c r="F2366" t="s">
        <v>68</v>
      </c>
      <c r="G2366" s="42">
        <v>78.66</v>
      </c>
      <c r="H2366" s="35">
        <v>1.07253</v>
      </c>
      <c r="I2366" s="46">
        <f>ROUNDUP(H2366/30,0)*VLOOKUP(D2366,'报价表-配送'!$B$9:$I$13,8,0)</f>
        <v>0</v>
      </c>
      <c r="L2366" s="37"/>
      <c r="M2366" s="39"/>
      <c r="N2366" s="38">
        <f t="shared" si="36"/>
        <v>0</v>
      </c>
    </row>
    <row r="2367" spans="1:14" x14ac:dyDescent="0.25">
      <c r="A2367" s="1" t="s">
        <v>83</v>
      </c>
      <c r="B2367" s="43" t="s">
        <v>143</v>
      </c>
      <c r="C2367" s="62">
        <f>VLOOKUP(B2367,合并仓明细!$D$2:$F$74,3,0)</f>
        <v>131</v>
      </c>
      <c r="D2367" t="s">
        <v>413</v>
      </c>
      <c r="E2367" s="43" t="s">
        <v>309</v>
      </c>
      <c r="F2367" t="s">
        <v>67</v>
      </c>
      <c r="G2367" s="42">
        <v>870.41000000000008</v>
      </c>
      <c r="L2367" s="37"/>
      <c r="M2367" s="39"/>
      <c r="N2367" s="38">
        <f t="shared" si="36"/>
        <v>0</v>
      </c>
    </row>
    <row r="2368" spans="1:14" x14ac:dyDescent="0.25">
      <c r="A2368" s="1" t="s">
        <v>83</v>
      </c>
      <c r="B2368" s="43" t="s">
        <v>143</v>
      </c>
      <c r="C2368" s="62">
        <f>VLOOKUP(B2368,合并仓明细!$D$2:$F$74,3,0)</f>
        <v>131</v>
      </c>
      <c r="D2368" t="s">
        <v>413</v>
      </c>
      <c r="E2368" s="43" t="s">
        <v>309</v>
      </c>
      <c r="F2368" t="s">
        <v>66</v>
      </c>
      <c r="G2368" s="42">
        <v>123.45999999999997</v>
      </c>
      <c r="I2368" s="46"/>
      <c r="K2368" s="1"/>
      <c r="L2368" s="33"/>
      <c r="M2368" s="1"/>
      <c r="N2368" s="38">
        <f t="shared" si="36"/>
        <v>0</v>
      </c>
    </row>
    <row r="2369" spans="1:14" x14ac:dyDescent="0.25">
      <c r="A2369" s="1" t="s">
        <v>83</v>
      </c>
      <c r="B2369" s="43" t="s">
        <v>143</v>
      </c>
      <c r="C2369" s="62">
        <f>VLOOKUP(B2369,合并仓明细!$D$2:$F$74,3,0)</f>
        <v>131</v>
      </c>
      <c r="D2369" t="s">
        <v>413</v>
      </c>
      <c r="E2369" s="43" t="s">
        <v>334</v>
      </c>
      <c r="F2369" t="s">
        <v>66</v>
      </c>
      <c r="G2369" s="42">
        <v>839.21</v>
      </c>
      <c r="H2369" s="35">
        <v>0.83921000000000001</v>
      </c>
      <c r="L2369" s="37">
        <f>IF(H2369&gt;30,QUOTIENT(H2369,30)*VLOOKUP(D2369,'报价表-配送'!$B$9:$I$13,8,0),0)+IF(AND(MOD(H2369,30)&gt;18,MOD(H2369,30)&lt;=30),1,0)*VLOOKUP(D2369,'报价表-配送'!$B$9:$I$13,8,0)+IF(AND(MOD(H2369,30)&gt;8,MOD(H2369,30)&lt;=18),1*VLOOKUP(D2369,'报价表-配送'!$B$9:$I$13,7,0),0)+IF(AND(MOD(H2369,30)&lt;=8,MOD(H2369,30)&gt;2.5),1,0)*VLOOKUP(D2369,'报价表-配送'!$B$9:$I$13,6,0)+IF(AND(MOD(H2369,30)&lt;=2.5,MOD(H2369,30)&gt;=1.5),1,0)*VLOOKUP(D2369,'报价表-配送'!$B$9:$I$13,5,0)</f>
        <v>0</v>
      </c>
      <c r="M2369" s="39">
        <f>IF(AND(MOD(H2369,30)&lt;1.5,MOD(H2369,30)&gt;=0.5),H2369,0)*VLOOKUP(D2369,'报价表-配送'!$B$9:$I$13,4,0)*1000+IF(AND(MOD(H2369,30)&lt;0.5,MOD(H2369,30)&gt;=0.02),H2369,0)*VLOOKUP(D2369,'报价表-配送'!$B$9:$I$13,3,0)*1000+IF(AND(MOD(H2369,30)&lt;0.02),H2369,0)*VLOOKUP(D2369,'报价表-配送'!$B$9:$I$13,2,0)*1000</f>
        <v>0</v>
      </c>
      <c r="N2369" s="38">
        <f t="shared" si="36"/>
        <v>0</v>
      </c>
    </row>
    <row r="2370" spans="1:14" x14ac:dyDescent="0.25">
      <c r="A2370" s="1" t="s">
        <v>83</v>
      </c>
      <c r="B2370" s="43" t="s">
        <v>143</v>
      </c>
      <c r="C2370" s="62">
        <f>VLOOKUP(B2370,合并仓明细!$D$2:$F$74,3,0)</f>
        <v>131</v>
      </c>
      <c r="D2370" t="s">
        <v>413</v>
      </c>
      <c r="E2370" s="43" t="s">
        <v>267</v>
      </c>
      <c r="F2370" t="s">
        <v>67</v>
      </c>
      <c r="G2370" s="42">
        <v>898.03000000000009</v>
      </c>
      <c r="H2370" s="35">
        <v>1.1442699999999999</v>
      </c>
      <c r="I2370" s="38">
        <f>IF(H2370&gt;30,QUOTIENT(H2370,30)*VLOOKUP(D2370,'报价表-配送'!$B$9:$I$13,8,0),0)+IF(AND(MOD(H2370,30)&gt;18,MOD(H2370,30)&lt;=30),1,0)*VLOOKUP(D2370,'报价表-配送'!$B$9:$I$13,8,0)</f>
        <v>0</v>
      </c>
      <c r="J2370" s="38">
        <f>IF(AND(MOD(H2370,30)&gt;8,MOD(H2370,30)&lt;=18),1*VLOOKUP(D2370,'报价表-配送'!$B$9:$I$13,7,0),0)</f>
        <v>0</v>
      </c>
      <c r="K2370" s="38">
        <f>IF(AND(MOD(H2370,30)&lt;=8,MOD(H2370,30)&gt;0),1,0)*VLOOKUP(D2370,'报价表-配送'!$B$9:$I$13,6,0)</f>
        <v>0</v>
      </c>
      <c r="N2370" s="38">
        <f t="shared" si="36"/>
        <v>0</v>
      </c>
    </row>
    <row r="2371" spans="1:14" x14ac:dyDescent="0.25">
      <c r="A2371" s="1" t="s">
        <v>83</v>
      </c>
      <c r="B2371" s="43" t="s">
        <v>143</v>
      </c>
      <c r="C2371" s="62">
        <f>VLOOKUP(B2371,合并仓明细!$D$2:$F$74,3,0)</f>
        <v>131</v>
      </c>
      <c r="D2371" t="s">
        <v>413</v>
      </c>
      <c r="E2371" s="43" t="s">
        <v>267</v>
      </c>
      <c r="F2371" t="s">
        <v>66</v>
      </c>
      <c r="G2371" s="42">
        <v>246.23999999999998</v>
      </c>
      <c r="I2371" s="52"/>
      <c r="J2371" s="52"/>
      <c r="K2371" s="52"/>
      <c r="L2371" s="37"/>
      <c r="M2371" s="37"/>
      <c r="N2371" s="38">
        <f t="shared" si="36"/>
        <v>0</v>
      </c>
    </row>
    <row r="2372" spans="1:14" x14ac:dyDescent="0.25">
      <c r="A2372" s="1" t="s">
        <v>83</v>
      </c>
      <c r="B2372" s="43" t="s">
        <v>143</v>
      </c>
      <c r="C2372" s="62">
        <f>VLOOKUP(B2372,合并仓明细!$D$2:$F$74,3,0)</f>
        <v>131</v>
      </c>
      <c r="D2372" t="s">
        <v>413</v>
      </c>
      <c r="E2372" s="43" t="s">
        <v>258</v>
      </c>
      <c r="F2372" t="s">
        <v>68</v>
      </c>
      <c r="G2372" s="42">
        <v>211.21</v>
      </c>
      <c r="H2372" s="35">
        <v>0.48706000000000005</v>
      </c>
      <c r="I2372" s="46">
        <f>ROUNDUP(H2372/30,0)*VLOOKUP(D2372,'报价表-配送'!$B$9:$I$13,8,0)</f>
        <v>0</v>
      </c>
      <c r="N2372" s="38">
        <f t="shared" si="36"/>
        <v>0</v>
      </c>
    </row>
    <row r="2373" spans="1:14" x14ac:dyDescent="0.25">
      <c r="A2373" s="1" t="s">
        <v>83</v>
      </c>
      <c r="B2373" s="43" t="s">
        <v>143</v>
      </c>
      <c r="C2373" s="62">
        <f>VLOOKUP(B2373,合并仓明细!$D$2:$F$74,3,0)</f>
        <v>131</v>
      </c>
      <c r="D2373" t="s">
        <v>413</v>
      </c>
      <c r="E2373" s="43" t="s">
        <v>258</v>
      </c>
      <c r="F2373" t="s">
        <v>67</v>
      </c>
      <c r="G2373" s="42">
        <v>6.88</v>
      </c>
      <c r="L2373" s="37"/>
      <c r="M2373" s="39"/>
      <c r="N2373" s="38">
        <f t="shared" si="36"/>
        <v>0</v>
      </c>
    </row>
    <row r="2374" spans="1:14" x14ac:dyDescent="0.25">
      <c r="A2374" s="1" t="s">
        <v>83</v>
      </c>
      <c r="B2374" s="43" t="s">
        <v>143</v>
      </c>
      <c r="C2374" s="62">
        <f>VLOOKUP(B2374,合并仓明细!$D$2:$F$74,3,0)</f>
        <v>131</v>
      </c>
      <c r="D2374" t="s">
        <v>413</v>
      </c>
      <c r="E2374" s="43" t="s">
        <v>258</v>
      </c>
      <c r="F2374" t="s">
        <v>66</v>
      </c>
      <c r="G2374" s="42">
        <v>268.97000000000003</v>
      </c>
      <c r="I2374" s="46"/>
      <c r="K2374" s="1"/>
      <c r="L2374" s="33"/>
      <c r="M2374" s="1"/>
      <c r="N2374" s="38">
        <f t="shared" si="36"/>
        <v>0</v>
      </c>
    </row>
    <row r="2375" spans="1:14" x14ac:dyDescent="0.25">
      <c r="A2375" s="1" t="s">
        <v>83</v>
      </c>
      <c r="B2375" s="43" t="s">
        <v>143</v>
      </c>
      <c r="C2375" s="62">
        <f>VLOOKUP(B2375,合并仓明细!$D$2:$F$74,3,0)</f>
        <v>131</v>
      </c>
      <c r="D2375" t="s">
        <v>413</v>
      </c>
      <c r="E2375" s="43" t="s">
        <v>268</v>
      </c>
      <c r="F2375" t="s">
        <v>67</v>
      </c>
      <c r="G2375" s="42">
        <v>321.33</v>
      </c>
      <c r="H2375" s="35">
        <v>0.32133</v>
      </c>
      <c r="I2375" s="38">
        <f>IF(H2375&gt;30,QUOTIENT(H2375,30)*VLOOKUP(D2375,'报价表-配送'!$B$9:$I$13,8,0),0)+IF(AND(MOD(H2375,30)&gt;18,MOD(H2375,30)&lt;=30),1,0)*VLOOKUP(D2375,'报价表-配送'!$B$9:$I$13,8,0)</f>
        <v>0</v>
      </c>
      <c r="J2375" s="38">
        <f>IF(AND(MOD(H2375,30)&gt;8,MOD(H2375,30)&lt;=18),1*VLOOKUP(D2375,'报价表-配送'!$B$9:$I$13,7,0),0)</f>
        <v>0</v>
      </c>
      <c r="K2375" s="38">
        <f>IF(AND(MOD(H2375,30)&lt;=8,MOD(H2375,30)&gt;0),1,0)*VLOOKUP(D2375,'报价表-配送'!$B$9:$I$13,6,0)</f>
        <v>0</v>
      </c>
      <c r="N2375" s="38">
        <f t="shared" si="36"/>
        <v>0</v>
      </c>
    </row>
    <row r="2376" spans="1:14" x14ac:dyDescent="0.25">
      <c r="A2376" s="1" t="s">
        <v>83</v>
      </c>
      <c r="B2376" s="43" t="s">
        <v>143</v>
      </c>
      <c r="C2376" s="62">
        <f>VLOOKUP(B2376,合并仓明细!$D$2:$F$74,3,0)</f>
        <v>131</v>
      </c>
      <c r="D2376" t="s">
        <v>413</v>
      </c>
      <c r="E2376" s="43" t="s">
        <v>335</v>
      </c>
      <c r="F2376" t="s">
        <v>66</v>
      </c>
      <c r="G2376" s="42">
        <v>110.73</v>
      </c>
      <c r="H2376" s="35">
        <v>0.11073000000000001</v>
      </c>
      <c r="L2376" s="37">
        <f>IF(H2376&gt;30,QUOTIENT(H2376,30)*VLOOKUP(D2376,'报价表-配送'!$B$9:$I$13,8,0),0)+IF(AND(MOD(H2376,30)&gt;18,MOD(H2376,30)&lt;=30),1,0)*VLOOKUP(D2376,'报价表-配送'!$B$9:$I$13,8,0)+IF(AND(MOD(H2376,30)&gt;8,MOD(H2376,30)&lt;=18),1*VLOOKUP(D2376,'报价表-配送'!$B$9:$I$13,7,0),0)+IF(AND(MOD(H2376,30)&lt;=8,MOD(H2376,30)&gt;2.5),1,0)*VLOOKUP(D2376,'报价表-配送'!$B$9:$I$13,6,0)+IF(AND(MOD(H2376,30)&lt;=2.5,MOD(H2376,30)&gt;=1.5),1,0)*VLOOKUP(D2376,'报价表-配送'!$B$9:$I$13,5,0)</f>
        <v>0</v>
      </c>
      <c r="M2376" s="39">
        <f>IF(AND(MOD(H2376,30)&lt;1.5,MOD(H2376,30)&gt;=0.5),H2376,0)*VLOOKUP(D2376,'报价表-配送'!$B$9:$I$13,4,0)*1000+IF(AND(MOD(H2376,30)&lt;0.5,MOD(H2376,30)&gt;=0.02),H2376,0)*VLOOKUP(D2376,'报价表-配送'!$B$9:$I$13,3,0)*1000+IF(AND(MOD(H2376,30)&lt;0.02),H2376,0)*VLOOKUP(D2376,'报价表-配送'!$B$9:$I$13,2,0)*1000</f>
        <v>0</v>
      </c>
      <c r="N2376" s="38">
        <f t="shared" si="36"/>
        <v>0</v>
      </c>
    </row>
    <row r="2377" spans="1:14" x14ac:dyDescent="0.25">
      <c r="A2377" s="1" t="s">
        <v>83</v>
      </c>
      <c r="B2377" s="43" t="s">
        <v>143</v>
      </c>
      <c r="C2377" s="62">
        <f>VLOOKUP(B2377,合并仓明细!$D$2:$F$74,3,0)</f>
        <v>131</v>
      </c>
      <c r="D2377" t="s">
        <v>413</v>
      </c>
      <c r="E2377" s="43" t="s">
        <v>270</v>
      </c>
      <c r="F2377" t="s">
        <v>68</v>
      </c>
      <c r="G2377" s="42">
        <v>2070.3900000000003</v>
      </c>
      <c r="H2377" s="35">
        <v>3.53409</v>
      </c>
      <c r="I2377" s="46">
        <f>ROUNDUP(H2377/30,0)*VLOOKUP(D2377,'报价表-配送'!$B$9:$I$13,8,0)</f>
        <v>0</v>
      </c>
      <c r="K2377" s="1"/>
      <c r="L2377" s="33"/>
      <c r="M2377" s="1"/>
      <c r="N2377" s="38">
        <f t="shared" si="36"/>
        <v>0</v>
      </c>
    </row>
    <row r="2378" spans="1:14" x14ac:dyDescent="0.25">
      <c r="A2378" s="1" t="s">
        <v>83</v>
      </c>
      <c r="B2378" s="43" t="s">
        <v>143</v>
      </c>
      <c r="C2378" s="62">
        <f>VLOOKUP(B2378,合并仓明细!$D$2:$F$74,3,0)</f>
        <v>131</v>
      </c>
      <c r="D2378" t="s">
        <v>413</v>
      </c>
      <c r="E2378" s="43" t="s">
        <v>270</v>
      </c>
      <c r="F2378" t="s">
        <v>67</v>
      </c>
      <c r="G2378" s="42">
        <v>322.86</v>
      </c>
      <c r="N2378" s="38">
        <f t="shared" si="36"/>
        <v>0</v>
      </c>
    </row>
    <row r="2379" spans="1:14" x14ac:dyDescent="0.25">
      <c r="A2379" s="1" t="s">
        <v>83</v>
      </c>
      <c r="B2379" s="43" t="s">
        <v>143</v>
      </c>
      <c r="C2379" s="62">
        <f>VLOOKUP(B2379,合并仓明细!$D$2:$F$74,3,0)</f>
        <v>131</v>
      </c>
      <c r="D2379" t="s">
        <v>413</v>
      </c>
      <c r="E2379" s="43" t="s">
        <v>270</v>
      </c>
      <c r="F2379" t="s">
        <v>66</v>
      </c>
      <c r="G2379" s="42">
        <v>1140.8399999999995</v>
      </c>
      <c r="I2379" s="46"/>
      <c r="K2379" s="1"/>
      <c r="L2379" s="33"/>
      <c r="M2379" s="1"/>
      <c r="N2379" s="38">
        <f t="shared" si="36"/>
        <v>0</v>
      </c>
    </row>
    <row r="2380" spans="1:14" x14ac:dyDescent="0.25">
      <c r="A2380" s="1" t="s">
        <v>83</v>
      </c>
      <c r="B2380" s="43" t="s">
        <v>143</v>
      </c>
      <c r="C2380" s="62">
        <f>VLOOKUP(B2380,合并仓明细!$D$2:$F$74,3,0)</f>
        <v>131</v>
      </c>
      <c r="D2380" t="s">
        <v>413</v>
      </c>
      <c r="E2380" s="43" t="s">
        <v>272</v>
      </c>
      <c r="F2380" t="s">
        <v>68</v>
      </c>
      <c r="G2380" s="42">
        <v>12.77</v>
      </c>
      <c r="H2380" s="35">
        <v>7.1760000000000004E-2</v>
      </c>
      <c r="I2380" s="46">
        <f>ROUNDUP(H2380/30,0)*VLOOKUP(D2380,'报价表-配送'!$B$9:$I$13,8,0)</f>
        <v>0</v>
      </c>
      <c r="N2380" s="38">
        <f t="shared" si="36"/>
        <v>0</v>
      </c>
    </row>
    <row r="2381" spans="1:14" x14ac:dyDescent="0.25">
      <c r="A2381" s="1" t="s">
        <v>83</v>
      </c>
      <c r="B2381" s="43" t="s">
        <v>143</v>
      </c>
      <c r="C2381" s="62">
        <f>VLOOKUP(B2381,合并仓明细!$D$2:$F$74,3,0)</f>
        <v>131</v>
      </c>
      <c r="D2381" t="s">
        <v>413</v>
      </c>
      <c r="E2381" s="43" t="s">
        <v>272</v>
      </c>
      <c r="F2381" t="s">
        <v>66</v>
      </c>
      <c r="G2381" s="42">
        <v>58.99</v>
      </c>
      <c r="N2381" s="38">
        <f t="shared" si="36"/>
        <v>0</v>
      </c>
    </row>
    <row r="2382" spans="1:14" x14ac:dyDescent="0.25">
      <c r="A2382" s="1" t="s">
        <v>83</v>
      </c>
      <c r="B2382" s="43" t="s">
        <v>143</v>
      </c>
      <c r="C2382" s="62">
        <f>VLOOKUP(B2382,合并仓明细!$D$2:$F$74,3,0)</f>
        <v>131</v>
      </c>
      <c r="D2382" t="s">
        <v>413</v>
      </c>
      <c r="E2382" s="43" t="s">
        <v>259</v>
      </c>
      <c r="F2382" t="s">
        <v>68</v>
      </c>
      <c r="G2382" s="42">
        <v>407.27</v>
      </c>
      <c r="H2382" s="35">
        <v>1.64642</v>
      </c>
      <c r="I2382" s="46">
        <f>ROUNDUP(H2382/30,0)*VLOOKUP(D2382,'报价表-配送'!$B$9:$I$13,8,0)</f>
        <v>0</v>
      </c>
      <c r="L2382" s="37"/>
      <c r="M2382" s="39"/>
      <c r="N2382" s="38">
        <f t="shared" si="36"/>
        <v>0</v>
      </c>
    </row>
    <row r="2383" spans="1:14" x14ac:dyDescent="0.25">
      <c r="A2383" s="1" t="s">
        <v>83</v>
      </c>
      <c r="B2383" s="43" t="s">
        <v>143</v>
      </c>
      <c r="C2383" s="62">
        <f>VLOOKUP(B2383,合并仓明细!$D$2:$F$74,3,0)</f>
        <v>131</v>
      </c>
      <c r="D2383" t="s">
        <v>413</v>
      </c>
      <c r="E2383" s="43" t="s">
        <v>259</v>
      </c>
      <c r="F2383" t="s">
        <v>67</v>
      </c>
      <c r="G2383" s="42">
        <v>764.61999999999989</v>
      </c>
      <c r="I2383" s="46"/>
      <c r="K2383" s="1"/>
      <c r="L2383" s="33"/>
      <c r="M2383" s="1"/>
      <c r="N2383" s="38">
        <f t="shared" si="36"/>
        <v>0</v>
      </c>
    </row>
    <row r="2384" spans="1:14" x14ac:dyDescent="0.25">
      <c r="A2384" s="1" t="s">
        <v>83</v>
      </c>
      <c r="B2384" s="43" t="s">
        <v>143</v>
      </c>
      <c r="C2384" s="62">
        <f>VLOOKUP(B2384,合并仓明细!$D$2:$F$74,3,0)</f>
        <v>131</v>
      </c>
      <c r="D2384" t="s">
        <v>413</v>
      </c>
      <c r="E2384" s="43" t="s">
        <v>259</v>
      </c>
      <c r="F2384" t="s">
        <v>66</v>
      </c>
      <c r="G2384" s="42">
        <v>474.53000000000009</v>
      </c>
      <c r="N2384" s="38">
        <f t="shared" si="36"/>
        <v>0</v>
      </c>
    </row>
    <row r="2385" spans="1:14" x14ac:dyDescent="0.25">
      <c r="A2385" s="1" t="s">
        <v>83</v>
      </c>
      <c r="B2385" s="43" t="s">
        <v>143</v>
      </c>
      <c r="C2385" s="62">
        <f>VLOOKUP(B2385,合并仓明细!$D$2:$F$74,3,0)</f>
        <v>131</v>
      </c>
      <c r="D2385" t="s">
        <v>413</v>
      </c>
      <c r="E2385" s="43" t="s">
        <v>322</v>
      </c>
      <c r="F2385" t="s">
        <v>68</v>
      </c>
      <c r="G2385" s="42">
        <v>54.72</v>
      </c>
      <c r="H2385" s="35">
        <v>1.7591899999999998</v>
      </c>
      <c r="I2385" s="46">
        <f>ROUNDUP(H2385/30,0)*VLOOKUP(D2385,'报价表-配送'!$B$9:$I$13,8,0)</f>
        <v>0</v>
      </c>
      <c r="N2385" s="38">
        <f t="shared" si="36"/>
        <v>0</v>
      </c>
    </row>
    <row r="2386" spans="1:14" x14ac:dyDescent="0.25">
      <c r="A2386" s="1" t="s">
        <v>83</v>
      </c>
      <c r="B2386" s="43" t="s">
        <v>143</v>
      </c>
      <c r="C2386" s="62">
        <f>VLOOKUP(B2386,合并仓明细!$D$2:$F$74,3,0)</f>
        <v>131</v>
      </c>
      <c r="D2386" t="s">
        <v>413</v>
      </c>
      <c r="E2386" s="43" t="s">
        <v>322</v>
      </c>
      <c r="F2386" t="s">
        <v>67</v>
      </c>
      <c r="G2386" s="42">
        <v>964.09999999999991</v>
      </c>
      <c r="L2386" s="37"/>
      <c r="M2386" s="39"/>
      <c r="N2386" s="38">
        <f t="shared" si="36"/>
        <v>0</v>
      </c>
    </row>
    <row r="2387" spans="1:14" x14ac:dyDescent="0.25">
      <c r="A2387" s="1" t="s">
        <v>83</v>
      </c>
      <c r="B2387" s="43" t="s">
        <v>143</v>
      </c>
      <c r="C2387" s="62">
        <f>VLOOKUP(B2387,合并仓明细!$D$2:$F$74,3,0)</f>
        <v>131</v>
      </c>
      <c r="D2387" t="s">
        <v>413</v>
      </c>
      <c r="E2387" s="43" t="s">
        <v>322</v>
      </c>
      <c r="F2387" t="s">
        <v>66</v>
      </c>
      <c r="G2387" s="42">
        <v>740.36999999999989</v>
      </c>
      <c r="I2387" s="46"/>
      <c r="K2387" s="1"/>
      <c r="L2387" s="33"/>
      <c r="M2387" s="1"/>
      <c r="N2387" s="38">
        <f t="shared" si="36"/>
        <v>0</v>
      </c>
    </row>
    <row r="2388" spans="1:14" x14ac:dyDescent="0.25">
      <c r="A2388" s="1" t="s">
        <v>83</v>
      </c>
      <c r="B2388" s="43" t="s">
        <v>143</v>
      </c>
      <c r="C2388" s="62">
        <f>VLOOKUP(B2388,合并仓明细!$D$2:$F$74,3,0)</f>
        <v>131</v>
      </c>
      <c r="D2388" t="s">
        <v>413</v>
      </c>
      <c r="E2388" s="43" t="s">
        <v>273</v>
      </c>
      <c r="F2388" t="s">
        <v>66</v>
      </c>
      <c r="G2388" s="42">
        <v>4.2</v>
      </c>
      <c r="H2388" s="35">
        <v>4.2000000000000006E-3</v>
      </c>
      <c r="L2388" s="37">
        <f>IF(H2388&gt;30,QUOTIENT(H2388,30)*VLOOKUP(D2388,'报价表-配送'!$B$9:$I$13,8,0),0)+IF(AND(MOD(H2388,30)&gt;18,MOD(H2388,30)&lt;=30),1,0)*VLOOKUP(D2388,'报价表-配送'!$B$9:$I$13,8,0)+IF(AND(MOD(H2388,30)&gt;8,MOD(H2388,30)&lt;=18),1*VLOOKUP(D2388,'报价表-配送'!$B$9:$I$13,7,0),0)+IF(AND(MOD(H2388,30)&lt;=8,MOD(H2388,30)&gt;2.5),1,0)*VLOOKUP(D2388,'报价表-配送'!$B$9:$I$13,6,0)+IF(AND(MOD(H2388,30)&lt;=2.5,MOD(H2388,30)&gt;=1.5),1,0)*VLOOKUP(D2388,'报价表-配送'!$B$9:$I$13,5,0)</f>
        <v>0</v>
      </c>
      <c r="M2388" s="39">
        <f>IF(AND(MOD(H2388,30)&lt;1.5,MOD(H2388,30)&gt;=0.5),H2388,0)*VLOOKUP(D2388,'报价表-配送'!$B$9:$I$13,4,0)*1000+IF(AND(MOD(H2388,30)&lt;0.5,MOD(H2388,30)&gt;=0.02),H2388,0)*VLOOKUP(D2388,'报价表-配送'!$B$9:$I$13,3,0)*1000+IF(AND(MOD(H2388,30)&lt;0.02),H2388,0)*VLOOKUP(D2388,'报价表-配送'!$B$9:$I$13,2,0)*1000</f>
        <v>0</v>
      </c>
      <c r="N2388" s="38">
        <f t="shared" si="36"/>
        <v>0</v>
      </c>
    </row>
    <row r="2389" spans="1:14" x14ac:dyDescent="0.25">
      <c r="A2389" s="1" t="s">
        <v>83</v>
      </c>
      <c r="B2389" s="43" t="s">
        <v>143</v>
      </c>
      <c r="C2389" s="62">
        <f>VLOOKUP(B2389,合并仓明细!$D$2:$F$74,3,0)</f>
        <v>131</v>
      </c>
      <c r="D2389" t="s">
        <v>413</v>
      </c>
      <c r="E2389" s="43" t="s">
        <v>336</v>
      </c>
      <c r="F2389" t="s">
        <v>66</v>
      </c>
      <c r="G2389" s="42">
        <v>34.36</v>
      </c>
      <c r="H2389" s="35">
        <v>3.4360000000000002E-2</v>
      </c>
      <c r="I2389" s="46"/>
      <c r="K2389" s="1"/>
      <c r="L2389" s="37">
        <f>IF(H2389&gt;30,QUOTIENT(H2389,30)*VLOOKUP(D2389,'报价表-配送'!$B$9:$I$13,8,0),0)+IF(AND(MOD(H2389,30)&gt;18,MOD(H2389,30)&lt;=30),1,0)*VLOOKUP(D2389,'报价表-配送'!$B$9:$I$13,8,0)+IF(AND(MOD(H2389,30)&gt;8,MOD(H2389,30)&lt;=18),1*VLOOKUP(D2389,'报价表-配送'!$B$9:$I$13,7,0),0)+IF(AND(MOD(H2389,30)&lt;=8,MOD(H2389,30)&gt;2.5),1,0)*VLOOKUP(D2389,'报价表-配送'!$B$9:$I$13,6,0)+IF(AND(MOD(H2389,30)&lt;=2.5,MOD(H2389,30)&gt;=1.5),1,0)*VLOOKUP(D2389,'报价表-配送'!$B$9:$I$13,5,0)</f>
        <v>0</v>
      </c>
      <c r="M2389" s="39">
        <f>IF(AND(MOD(H2389,30)&lt;1.5,MOD(H2389,30)&gt;=0.5),H2389,0)*VLOOKUP(D2389,'报价表-配送'!$B$9:$I$13,4,0)*1000+IF(AND(MOD(H2389,30)&lt;0.5,MOD(H2389,30)&gt;=0.02),H2389,0)*VLOOKUP(D2389,'报价表-配送'!$B$9:$I$13,3,0)*1000+IF(AND(MOD(H2389,30)&lt;0.02),H2389,0)*VLOOKUP(D2389,'报价表-配送'!$B$9:$I$13,2,0)*1000</f>
        <v>0</v>
      </c>
      <c r="N2389" s="38">
        <f t="shared" si="36"/>
        <v>0</v>
      </c>
    </row>
    <row r="2390" spans="1:14" x14ac:dyDescent="0.25">
      <c r="A2390" s="1" t="s">
        <v>83</v>
      </c>
      <c r="B2390" s="43" t="s">
        <v>143</v>
      </c>
      <c r="C2390" s="62">
        <f>VLOOKUP(B2390,合并仓明细!$D$2:$F$74,3,0)</f>
        <v>131</v>
      </c>
      <c r="D2390" t="s">
        <v>413</v>
      </c>
      <c r="E2390" s="43" t="s">
        <v>274</v>
      </c>
      <c r="F2390" t="s">
        <v>66</v>
      </c>
      <c r="G2390" s="42">
        <v>4.4000000000000004</v>
      </c>
      <c r="H2390" s="35">
        <v>4.4000000000000003E-3</v>
      </c>
      <c r="L2390" s="37">
        <f>IF(H2390&gt;30,QUOTIENT(H2390,30)*VLOOKUP(D2390,'报价表-配送'!$B$9:$I$13,8,0),0)+IF(AND(MOD(H2390,30)&gt;18,MOD(H2390,30)&lt;=30),1,0)*VLOOKUP(D2390,'报价表-配送'!$B$9:$I$13,8,0)+IF(AND(MOD(H2390,30)&gt;8,MOD(H2390,30)&lt;=18),1*VLOOKUP(D2390,'报价表-配送'!$B$9:$I$13,7,0),0)+IF(AND(MOD(H2390,30)&lt;=8,MOD(H2390,30)&gt;2.5),1,0)*VLOOKUP(D2390,'报价表-配送'!$B$9:$I$13,6,0)+IF(AND(MOD(H2390,30)&lt;=2.5,MOD(H2390,30)&gt;=1.5),1,0)*VLOOKUP(D2390,'报价表-配送'!$B$9:$I$13,5,0)</f>
        <v>0</v>
      </c>
      <c r="M2390" s="39">
        <f>IF(AND(MOD(H2390,30)&lt;1.5,MOD(H2390,30)&gt;=0.5),H2390,0)*VLOOKUP(D2390,'报价表-配送'!$B$9:$I$13,4,0)*1000+IF(AND(MOD(H2390,30)&lt;0.5,MOD(H2390,30)&gt;=0.02),H2390,0)*VLOOKUP(D2390,'报价表-配送'!$B$9:$I$13,3,0)*1000+IF(AND(MOD(H2390,30)&lt;0.02),H2390,0)*VLOOKUP(D2390,'报价表-配送'!$B$9:$I$13,2,0)*1000</f>
        <v>0</v>
      </c>
      <c r="N2390" s="38">
        <f t="shared" si="36"/>
        <v>0</v>
      </c>
    </row>
    <row r="2391" spans="1:14" x14ac:dyDescent="0.25">
      <c r="A2391" s="1" t="s">
        <v>83</v>
      </c>
      <c r="B2391" s="43" t="s">
        <v>143</v>
      </c>
      <c r="C2391" s="62">
        <f>VLOOKUP(B2391,合并仓明细!$D$2:$F$74,3,0)</f>
        <v>131</v>
      </c>
      <c r="D2391" t="s">
        <v>413</v>
      </c>
      <c r="E2391" s="43" t="s">
        <v>351</v>
      </c>
      <c r="F2391" t="s">
        <v>68</v>
      </c>
      <c r="G2391" s="42">
        <v>131.09</v>
      </c>
      <c r="H2391" s="35">
        <v>0.26791999999999999</v>
      </c>
      <c r="I2391" s="46">
        <f>ROUNDUP(H2391/30,0)*VLOOKUP(D2391,'报价表-配送'!$B$9:$I$13,8,0)</f>
        <v>0</v>
      </c>
      <c r="K2391" s="1"/>
      <c r="L2391" s="33"/>
      <c r="M2391" s="1"/>
      <c r="N2391" s="38">
        <f t="shared" si="36"/>
        <v>0</v>
      </c>
    </row>
    <row r="2392" spans="1:14" x14ac:dyDescent="0.25">
      <c r="A2392" s="1" t="s">
        <v>83</v>
      </c>
      <c r="B2392" s="43" t="s">
        <v>143</v>
      </c>
      <c r="C2392" s="62">
        <f>VLOOKUP(B2392,合并仓明细!$D$2:$F$74,3,0)</f>
        <v>131</v>
      </c>
      <c r="D2392" t="s">
        <v>413</v>
      </c>
      <c r="E2392" s="43" t="s">
        <v>351</v>
      </c>
      <c r="F2392" t="s">
        <v>67</v>
      </c>
      <c r="G2392" s="42">
        <v>110.32000000000001</v>
      </c>
      <c r="N2392" s="38">
        <f t="shared" si="36"/>
        <v>0</v>
      </c>
    </row>
    <row r="2393" spans="1:14" x14ac:dyDescent="0.25">
      <c r="A2393" s="1" t="s">
        <v>83</v>
      </c>
      <c r="B2393" s="43" t="s">
        <v>143</v>
      </c>
      <c r="C2393" s="62">
        <f>VLOOKUP(B2393,合并仓明细!$D$2:$F$74,3,0)</f>
        <v>131</v>
      </c>
      <c r="D2393" t="s">
        <v>413</v>
      </c>
      <c r="E2393" s="43" t="s">
        <v>351</v>
      </c>
      <c r="F2393" t="s">
        <v>66</v>
      </c>
      <c r="G2393" s="42">
        <v>26.509999999999998</v>
      </c>
      <c r="N2393" s="38">
        <f t="shared" si="36"/>
        <v>0</v>
      </c>
    </row>
    <row r="2394" spans="1:14" x14ac:dyDescent="0.25">
      <c r="A2394" s="1" t="s">
        <v>83</v>
      </c>
      <c r="B2394" s="43" t="s">
        <v>143</v>
      </c>
      <c r="C2394" s="62">
        <f>VLOOKUP(B2394,合并仓明细!$D$2:$F$74,3,0)</f>
        <v>131</v>
      </c>
      <c r="D2394" t="s">
        <v>413</v>
      </c>
      <c r="E2394" s="43" t="s">
        <v>346</v>
      </c>
      <c r="F2394" t="s">
        <v>68</v>
      </c>
      <c r="G2394" s="42">
        <v>51.09</v>
      </c>
      <c r="H2394" s="35">
        <v>0.17428000000000002</v>
      </c>
      <c r="I2394" s="46">
        <f>ROUNDUP(H2394/30,0)*VLOOKUP(D2394,'报价表-配送'!$B$9:$I$13,8,0)</f>
        <v>0</v>
      </c>
      <c r="L2394" s="37"/>
      <c r="M2394" s="39"/>
      <c r="N2394" s="38">
        <f t="shared" si="36"/>
        <v>0</v>
      </c>
    </row>
    <row r="2395" spans="1:14" x14ac:dyDescent="0.25">
      <c r="A2395" s="1" t="s">
        <v>83</v>
      </c>
      <c r="B2395" s="43" t="s">
        <v>143</v>
      </c>
      <c r="C2395" s="62">
        <f>VLOOKUP(B2395,合并仓明细!$D$2:$F$74,3,0)</f>
        <v>131</v>
      </c>
      <c r="D2395" t="s">
        <v>413</v>
      </c>
      <c r="E2395" s="43" t="s">
        <v>346</v>
      </c>
      <c r="F2395" t="s">
        <v>66</v>
      </c>
      <c r="G2395" s="42">
        <v>123.19000000000001</v>
      </c>
      <c r="I2395" s="46"/>
      <c r="K2395" s="1"/>
      <c r="L2395" s="33"/>
      <c r="M2395" s="1"/>
      <c r="N2395" s="38">
        <f t="shared" si="36"/>
        <v>0</v>
      </c>
    </row>
    <row r="2396" spans="1:14" x14ac:dyDescent="0.25">
      <c r="A2396" s="1" t="s">
        <v>83</v>
      </c>
      <c r="B2396" s="43" t="s">
        <v>143</v>
      </c>
      <c r="C2396" s="62">
        <f>VLOOKUP(B2396,合并仓明细!$D$2:$F$74,3,0)</f>
        <v>131</v>
      </c>
      <c r="D2396" t="s">
        <v>413</v>
      </c>
      <c r="E2396" s="43" t="s">
        <v>276</v>
      </c>
      <c r="F2396" t="s">
        <v>67</v>
      </c>
      <c r="G2396" s="42">
        <v>335.8</v>
      </c>
      <c r="H2396" s="35">
        <v>1.0072000000000003</v>
      </c>
      <c r="I2396" s="38">
        <f>IF(H2396&gt;30,QUOTIENT(H2396,30)*VLOOKUP(D2396,'报价表-配送'!$B$9:$I$13,8,0),0)+IF(AND(MOD(H2396,30)&gt;18,MOD(H2396,30)&lt;=30),1,0)*VLOOKUP(D2396,'报价表-配送'!$B$9:$I$13,8,0)</f>
        <v>0</v>
      </c>
      <c r="J2396" s="38">
        <f>IF(AND(MOD(H2396,30)&gt;8,MOD(H2396,30)&lt;=18),1*VLOOKUP(D2396,'报价表-配送'!$B$9:$I$13,7,0),0)</f>
        <v>0</v>
      </c>
      <c r="K2396" s="38">
        <f>IF(AND(MOD(H2396,30)&lt;=8,MOD(H2396,30)&gt;0),1,0)*VLOOKUP(D2396,'报价表-配送'!$B$9:$I$13,6,0)</f>
        <v>0</v>
      </c>
      <c r="N2396" s="38">
        <f t="shared" si="36"/>
        <v>0</v>
      </c>
    </row>
    <row r="2397" spans="1:14" x14ac:dyDescent="0.25">
      <c r="A2397" s="1" t="s">
        <v>83</v>
      </c>
      <c r="B2397" s="43" t="s">
        <v>143</v>
      </c>
      <c r="C2397" s="62">
        <f>VLOOKUP(B2397,合并仓明细!$D$2:$F$74,3,0)</f>
        <v>131</v>
      </c>
      <c r="D2397" t="s">
        <v>413</v>
      </c>
      <c r="E2397" s="43" t="s">
        <v>276</v>
      </c>
      <c r="F2397" t="s">
        <v>66</v>
      </c>
      <c r="G2397" s="42">
        <v>671.4000000000002</v>
      </c>
      <c r="N2397" s="38">
        <f t="shared" si="36"/>
        <v>0</v>
      </c>
    </row>
    <row r="2398" spans="1:14" x14ac:dyDescent="0.25">
      <c r="A2398" s="1" t="s">
        <v>83</v>
      </c>
      <c r="B2398" s="43" t="s">
        <v>143</v>
      </c>
      <c r="C2398" s="62">
        <f>VLOOKUP(B2398,合并仓明细!$D$2:$F$74,3,0)</f>
        <v>131</v>
      </c>
      <c r="D2398" t="s">
        <v>413</v>
      </c>
      <c r="E2398" s="43" t="s">
        <v>310</v>
      </c>
      <c r="F2398" t="s">
        <v>67</v>
      </c>
      <c r="G2398" s="42">
        <v>611.65</v>
      </c>
      <c r="H2398" s="35">
        <v>0.86106999999999989</v>
      </c>
      <c r="I2398" s="38">
        <f>IF(H2398&gt;30,QUOTIENT(H2398,30)*VLOOKUP(D2398,'报价表-配送'!$B$9:$I$13,8,0),0)+IF(AND(MOD(H2398,30)&gt;18,MOD(H2398,30)&lt;=30),1,0)*VLOOKUP(D2398,'报价表-配送'!$B$9:$I$13,8,0)</f>
        <v>0</v>
      </c>
      <c r="J2398" s="38">
        <f>IF(AND(MOD(H2398,30)&gt;8,MOD(H2398,30)&lt;=18),1*VLOOKUP(D2398,'报价表-配送'!$B$9:$I$13,7,0),0)</f>
        <v>0</v>
      </c>
      <c r="K2398" s="38">
        <f>IF(AND(MOD(H2398,30)&lt;=8,MOD(H2398,30)&gt;0),1,0)*VLOOKUP(D2398,'报价表-配送'!$B$9:$I$13,6,0)</f>
        <v>0</v>
      </c>
      <c r="L2398" s="33"/>
      <c r="M2398" s="1"/>
      <c r="N2398" s="38">
        <f t="shared" si="36"/>
        <v>0</v>
      </c>
    </row>
    <row r="2399" spans="1:14" x14ac:dyDescent="0.25">
      <c r="A2399" s="1" t="s">
        <v>83</v>
      </c>
      <c r="B2399" s="43" t="s">
        <v>143</v>
      </c>
      <c r="C2399" s="62">
        <f>VLOOKUP(B2399,合并仓明细!$D$2:$F$74,3,0)</f>
        <v>131</v>
      </c>
      <c r="D2399" t="s">
        <v>413</v>
      </c>
      <c r="E2399" s="43" t="s">
        <v>310</v>
      </c>
      <c r="F2399" t="s">
        <v>66</v>
      </c>
      <c r="G2399" s="42">
        <v>249.42000000000002</v>
      </c>
      <c r="N2399" s="38">
        <f t="shared" si="36"/>
        <v>0</v>
      </c>
    </row>
    <row r="2400" spans="1:14" x14ac:dyDescent="0.25">
      <c r="A2400" s="1" t="s">
        <v>83</v>
      </c>
      <c r="B2400" s="43" t="s">
        <v>143</v>
      </c>
      <c r="C2400" s="62">
        <f>VLOOKUP(B2400,合并仓明细!$D$2:$F$74,3,0)</f>
        <v>131</v>
      </c>
      <c r="D2400" t="s">
        <v>413</v>
      </c>
      <c r="E2400" s="43" t="s">
        <v>337</v>
      </c>
      <c r="F2400" t="s">
        <v>67</v>
      </c>
      <c r="G2400" s="42">
        <v>303.93</v>
      </c>
      <c r="H2400" s="35">
        <v>2.6710899999999986</v>
      </c>
      <c r="I2400" s="38">
        <f>IF(H2400&gt;30,QUOTIENT(H2400,30)*VLOOKUP(D2400,'报价表-配送'!$B$9:$I$13,8,0),0)+IF(AND(MOD(H2400,30)&gt;18,MOD(H2400,30)&lt;=30),1,0)*VLOOKUP(D2400,'报价表-配送'!$B$9:$I$13,8,0)</f>
        <v>0</v>
      </c>
      <c r="J2400" s="38">
        <f>IF(AND(MOD(H2400,30)&gt;8,MOD(H2400,30)&lt;=18),1*VLOOKUP(D2400,'报价表-配送'!$B$9:$I$13,7,0),0)</f>
        <v>0</v>
      </c>
      <c r="K2400" s="38">
        <f>IF(AND(MOD(H2400,30)&lt;=8,MOD(H2400,30)&gt;0),1,0)*VLOOKUP(D2400,'报价表-配送'!$B$9:$I$13,6,0)</f>
        <v>0</v>
      </c>
      <c r="N2400" s="38">
        <f t="shared" si="36"/>
        <v>0</v>
      </c>
    </row>
    <row r="2401" spans="1:14" x14ac:dyDescent="0.25">
      <c r="A2401" s="1" t="s">
        <v>83</v>
      </c>
      <c r="B2401" s="43" t="s">
        <v>143</v>
      </c>
      <c r="C2401" s="62">
        <f>VLOOKUP(B2401,合并仓明细!$D$2:$F$74,3,0)</f>
        <v>131</v>
      </c>
      <c r="D2401" t="s">
        <v>413</v>
      </c>
      <c r="E2401" s="43" t="s">
        <v>337</v>
      </c>
      <c r="F2401" t="s">
        <v>66</v>
      </c>
      <c r="G2401" s="42">
        <v>2367.1599999999989</v>
      </c>
      <c r="I2401" s="46"/>
      <c r="K2401" s="1"/>
      <c r="L2401" s="33"/>
      <c r="M2401" s="1"/>
      <c r="N2401" s="38">
        <f t="shared" si="36"/>
        <v>0</v>
      </c>
    </row>
    <row r="2402" spans="1:14" x14ac:dyDescent="0.25">
      <c r="A2402" s="1" t="s">
        <v>83</v>
      </c>
      <c r="B2402" s="43" t="s">
        <v>143</v>
      </c>
      <c r="C2402" s="62">
        <f>VLOOKUP(B2402,合并仓明细!$D$2:$F$74,3,0)</f>
        <v>131</v>
      </c>
      <c r="D2402" t="s">
        <v>413</v>
      </c>
      <c r="E2402" s="43" t="s">
        <v>277</v>
      </c>
      <c r="F2402" t="s">
        <v>68</v>
      </c>
      <c r="G2402" s="42">
        <v>882.69</v>
      </c>
      <c r="H2402" s="35">
        <v>2.4477599999999993</v>
      </c>
      <c r="I2402" s="46">
        <f>ROUNDUP(H2402/30,0)*VLOOKUP(D2402,'报价表-配送'!$B$9:$I$13,8,0)</f>
        <v>0</v>
      </c>
      <c r="N2402" s="38">
        <f t="shared" si="36"/>
        <v>0</v>
      </c>
    </row>
    <row r="2403" spans="1:14" x14ac:dyDescent="0.25">
      <c r="A2403" s="1" t="s">
        <v>83</v>
      </c>
      <c r="B2403" s="43" t="s">
        <v>143</v>
      </c>
      <c r="C2403" s="62">
        <f>VLOOKUP(B2403,合并仓明细!$D$2:$F$74,3,0)</f>
        <v>131</v>
      </c>
      <c r="D2403" t="s">
        <v>413</v>
      </c>
      <c r="E2403" s="43" t="s">
        <v>277</v>
      </c>
      <c r="F2403" t="s">
        <v>67</v>
      </c>
      <c r="G2403" s="42">
        <v>209.64</v>
      </c>
      <c r="N2403" s="38">
        <f t="shared" si="36"/>
        <v>0</v>
      </c>
    </row>
    <row r="2404" spans="1:14" x14ac:dyDescent="0.25">
      <c r="A2404" s="1" t="s">
        <v>83</v>
      </c>
      <c r="B2404" s="43" t="s">
        <v>143</v>
      </c>
      <c r="C2404" s="62">
        <f>VLOOKUP(B2404,合并仓明细!$D$2:$F$74,3,0)</f>
        <v>131</v>
      </c>
      <c r="D2404" t="s">
        <v>413</v>
      </c>
      <c r="E2404" s="43" t="s">
        <v>277</v>
      </c>
      <c r="F2404" t="s">
        <v>66</v>
      </c>
      <c r="G2404" s="42">
        <v>1355.4299999999996</v>
      </c>
      <c r="I2404" s="46"/>
      <c r="K2404" s="1"/>
      <c r="L2404" s="33"/>
      <c r="M2404" s="1"/>
      <c r="N2404" s="38">
        <f t="shared" si="36"/>
        <v>0</v>
      </c>
    </row>
    <row r="2405" spans="1:14" x14ac:dyDescent="0.25">
      <c r="A2405" s="1" t="s">
        <v>83</v>
      </c>
      <c r="B2405" s="43" t="s">
        <v>143</v>
      </c>
      <c r="C2405" s="62">
        <f>VLOOKUP(B2405,合并仓明细!$D$2:$F$74,3,0)</f>
        <v>131</v>
      </c>
      <c r="D2405" t="s">
        <v>413</v>
      </c>
      <c r="E2405" s="43" t="s">
        <v>347</v>
      </c>
      <c r="F2405" t="s">
        <v>66</v>
      </c>
      <c r="G2405" s="42">
        <v>607.36</v>
      </c>
      <c r="H2405" s="35">
        <v>0.60736000000000001</v>
      </c>
      <c r="L2405" s="37">
        <f>IF(H2405&gt;30,QUOTIENT(H2405,30)*VLOOKUP(D2405,'报价表-配送'!$B$9:$I$13,8,0),0)+IF(AND(MOD(H2405,30)&gt;18,MOD(H2405,30)&lt;=30),1,0)*VLOOKUP(D2405,'报价表-配送'!$B$9:$I$13,8,0)+IF(AND(MOD(H2405,30)&gt;8,MOD(H2405,30)&lt;=18),1*VLOOKUP(D2405,'报价表-配送'!$B$9:$I$13,7,0),0)+IF(AND(MOD(H2405,30)&lt;=8,MOD(H2405,30)&gt;2.5),1,0)*VLOOKUP(D2405,'报价表-配送'!$B$9:$I$13,6,0)+IF(AND(MOD(H2405,30)&lt;=2.5,MOD(H2405,30)&gt;=1.5),1,0)*VLOOKUP(D2405,'报价表-配送'!$B$9:$I$13,5,0)</f>
        <v>0</v>
      </c>
      <c r="M2405" s="39">
        <f>IF(AND(MOD(H2405,30)&lt;1.5,MOD(H2405,30)&gt;=0.5),H2405,0)*VLOOKUP(D2405,'报价表-配送'!$B$9:$I$13,4,0)*1000+IF(AND(MOD(H2405,30)&lt;0.5,MOD(H2405,30)&gt;=0.02),H2405,0)*VLOOKUP(D2405,'报价表-配送'!$B$9:$I$13,3,0)*1000+IF(AND(MOD(H2405,30)&lt;0.02),H2405,0)*VLOOKUP(D2405,'报价表-配送'!$B$9:$I$13,2,0)*1000</f>
        <v>0</v>
      </c>
      <c r="N2405" s="38">
        <f t="shared" si="36"/>
        <v>0</v>
      </c>
    </row>
    <row r="2406" spans="1:14" x14ac:dyDescent="0.25">
      <c r="A2406" s="1" t="s">
        <v>83</v>
      </c>
      <c r="B2406" s="43" t="s">
        <v>143</v>
      </c>
      <c r="C2406" s="62">
        <f>VLOOKUP(B2406,合并仓明细!$D$2:$F$74,3,0)</f>
        <v>131</v>
      </c>
      <c r="D2406" t="s">
        <v>413</v>
      </c>
      <c r="E2406" s="43" t="s">
        <v>246</v>
      </c>
      <c r="F2406" t="s">
        <v>68</v>
      </c>
      <c r="G2406" s="42">
        <v>835.56</v>
      </c>
      <c r="H2406" s="35">
        <v>1.2723599999999999</v>
      </c>
      <c r="I2406" s="46">
        <f>ROUNDUP(H2406/30,0)*VLOOKUP(D2406,'报价表-配送'!$B$9:$I$13,8,0)</f>
        <v>0</v>
      </c>
      <c r="N2406" s="38">
        <f t="shared" si="36"/>
        <v>0</v>
      </c>
    </row>
    <row r="2407" spans="1:14" x14ac:dyDescent="0.25">
      <c r="A2407" s="1" t="s">
        <v>83</v>
      </c>
      <c r="B2407" s="43" t="s">
        <v>143</v>
      </c>
      <c r="C2407" s="62">
        <f>VLOOKUP(B2407,合并仓明细!$D$2:$F$74,3,0)</f>
        <v>131</v>
      </c>
      <c r="D2407" t="s">
        <v>413</v>
      </c>
      <c r="E2407" s="43" t="s">
        <v>246</v>
      </c>
      <c r="F2407" t="s">
        <v>67</v>
      </c>
      <c r="G2407" s="42">
        <v>263.58</v>
      </c>
      <c r="I2407" s="46"/>
      <c r="K2407" s="1"/>
      <c r="L2407" s="33"/>
      <c r="M2407" s="1"/>
      <c r="N2407" s="38">
        <f t="shared" si="36"/>
        <v>0</v>
      </c>
    </row>
    <row r="2408" spans="1:14" x14ac:dyDescent="0.25">
      <c r="A2408" s="1" t="s">
        <v>83</v>
      </c>
      <c r="B2408" s="43" t="s">
        <v>143</v>
      </c>
      <c r="C2408" s="62">
        <f>VLOOKUP(B2408,合并仓明细!$D$2:$F$74,3,0)</f>
        <v>131</v>
      </c>
      <c r="D2408" t="s">
        <v>413</v>
      </c>
      <c r="E2408" s="43" t="s">
        <v>246</v>
      </c>
      <c r="F2408" t="s">
        <v>66</v>
      </c>
      <c r="G2408" s="42">
        <v>173.22</v>
      </c>
      <c r="N2408" s="38">
        <f t="shared" si="36"/>
        <v>0</v>
      </c>
    </row>
    <row r="2409" spans="1:14" x14ac:dyDescent="0.25">
      <c r="A2409" s="1" t="s">
        <v>83</v>
      </c>
      <c r="B2409" s="43" t="s">
        <v>143</v>
      </c>
      <c r="C2409" s="62">
        <f>VLOOKUP(B2409,合并仓明细!$D$2:$F$74,3,0)</f>
        <v>131</v>
      </c>
      <c r="D2409" t="s">
        <v>413</v>
      </c>
      <c r="E2409" s="43" t="s">
        <v>352</v>
      </c>
      <c r="F2409" t="s">
        <v>66</v>
      </c>
      <c r="G2409" s="42">
        <v>18.850000000000001</v>
      </c>
      <c r="H2409" s="35">
        <v>1.8850000000000002E-2</v>
      </c>
      <c r="I2409" s="46"/>
      <c r="K2409" s="1"/>
      <c r="L2409" s="37">
        <f>IF(H2409&gt;30,QUOTIENT(H2409,30)*VLOOKUP(D2409,'报价表-配送'!$B$9:$I$13,8,0),0)+IF(AND(MOD(H2409,30)&gt;18,MOD(H2409,30)&lt;=30),1,0)*VLOOKUP(D2409,'报价表-配送'!$B$9:$I$13,8,0)+IF(AND(MOD(H2409,30)&gt;8,MOD(H2409,30)&lt;=18),1*VLOOKUP(D2409,'报价表-配送'!$B$9:$I$13,7,0),0)+IF(AND(MOD(H2409,30)&lt;=8,MOD(H2409,30)&gt;2.5),1,0)*VLOOKUP(D2409,'报价表-配送'!$B$9:$I$13,6,0)+IF(AND(MOD(H2409,30)&lt;=2.5,MOD(H2409,30)&gt;=1.5),1,0)*VLOOKUP(D2409,'报价表-配送'!$B$9:$I$13,5,0)</f>
        <v>0</v>
      </c>
      <c r="M2409" s="39">
        <f>IF(AND(MOD(H2409,30)&lt;1.5,MOD(H2409,30)&gt;=0.5),H2409,0)*VLOOKUP(D2409,'报价表-配送'!$B$9:$I$13,4,0)*1000+IF(AND(MOD(H2409,30)&lt;0.5,MOD(H2409,30)&gt;=0.02),H2409,0)*VLOOKUP(D2409,'报价表-配送'!$B$9:$I$13,3,0)*1000+IF(AND(MOD(H2409,30)&lt;0.02),H2409,0)*VLOOKUP(D2409,'报价表-配送'!$B$9:$I$13,2,0)*1000</f>
        <v>0</v>
      </c>
      <c r="N2409" s="38">
        <f t="shared" si="36"/>
        <v>0</v>
      </c>
    </row>
    <row r="2410" spans="1:14" x14ac:dyDescent="0.25">
      <c r="A2410" s="1" t="s">
        <v>83</v>
      </c>
      <c r="B2410" s="43" t="s">
        <v>143</v>
      </c>
      <c r="C2410" s="62">
        <f>VLOOKUP(B2410,合并仓明细!$D$2:$F$74,3,0)</f>
        <v>131</v>
      </c>
      <c r="D2410" t="s">
        <v>413</v>
      </c>
      <c r="E2410" s="43" t="s">
        <v>312</v>
      </c>
      <c r="F2410" t="s">
        <v>68</v>
      </c>
      <c r="G2410" s="42">
        <v>387.73</v>
      </c>
      <c r="H2410" s="35">
        <v>4.1808900000000007</v>
      </c>
      <c r="I2410" s="46">
        <f>ROUNDUP(H2410/30,0)*VLOOKUP(D2410,'报价表-配送'!$B$9:$I$13,8,0)</f>
        <v>0</v>
      </c>
      <c r="N2410" s="38">
        <f t="shared" si="36"/>
        <v>0</v>
      </c>
    </row>
    <row r="2411" spans="1:14" x14ac:dyDescent="0.25">
      <c r="A2411" s="1" t="s">
        <v>83</v>
      </c>
      <c r="B2411" s="43" t="s">
        <v>143</v>
      </c>
      <c r="C2411" s="62">
        <f>VLOOKUP(B2411,合并仓明细!$D$2:$F$74,3,0)</f>
        <v>131</v>
      </c>
      <c r="D2411" t="s">
        <v>413</v>
      </c>
      <c r="E2411" s="43" t="s">
        <v>312</v>
      </c>
      <c r="F2411" t="s">
        <v>67</v>
      </c>
      <c r="G2411" s="42">
        <v>2868.4300000000003</v>
      </c>
      <c r="N2411" s="38">
        <f t="shared" si="36"/>
        <v>0</v>
      </c>
    </row>
    <row r="2412" spans="1:14" x14ac:dyDescent="0.25">
      <c r="A2412" s="1" t="s">
        <v>83</v>
      </c>
      <c r="B2412" s="43" t="s">
        <v>143</v>
      </c>
      <c r="C2412" s="62">
        <f>VLOOKUP(B2412,合并仓明细!$D$2:$F$74,3,0)</f>
        <v>131</v>
      </c>
      <c r="D2412" t="s">
        <v>413</v>
      </c>
      <c r="E2412" s="43" t="s">
        <v>312</v>
      </c>
      <c r="F2412" t="s">
        <v>66</v>
      </c>
      <c r="G2412" s="42">
        <v>924.72999999999968</v>
      </c>
      <c r="I2412" s="46"/>
      <c r="K2412" s="1"/>
      <c r="L2412" s="33"/>
      <c r="M2412" s="1"/>
      <c r="N2412" s="38">
        <f t="shared" ref="N2412:N2475" si="37">SUM(I2412:M2412)</f>
        <v>0</v>
      </c>
    </row>
    <row r="2413" spans="1:14" x14ac:dyDescent="0.25">
      <c r="A2413" s="1" t="s">
        <v>83</v>
      </c>
      <c r="B2413" s="43" t="s">
        <v>143</v>
      </c>
      <c r="C2413" s="62">
        <f>VLOOKUP(B2413,合并仓明细!$D$2:$F$74,3,0)</f>
        <v>131</v>
      </c>
      <c r="D2413" t="s">
        <v>413</v>
      </c>
      <c r="E2413" s="43" t="s">
        <v>281</v>
      </c>
      <c r="F2413" t="s">
        <v>68</v>
      </c>
      <c r="G2413" s="42">
        <v>403.35</v>
      </c>
      <c r="H2413" s="35">
        <v>0.7506600000000001</v>
      </c>
      <c r="I2413" s="46">
        <f>ROUNDUP(H2413/30,0)*VLOOKUP(D2413,'报价表-配送'!$B$9:$I$13,8,0)</f>
        <v>0</v>
      </c>
      <c r="N2413" s="38">
        <f t="shared" si="37"/>
        <v>0</v>
      </c>
    </row>
    <row r="2414" spans="1:14" x14ac:dyDescent="0.25">
      <c r="A2414" s="1" t="s">
        <v>83</v>
      </c>
      <c r="B2414" s="43" t="s">
        <v>143</v>
      </c>
      <c r="C2414" s="62">
        <f>VLOOKUP(B2414,合并仓明细!$D$2:$F$74,3,0)</f>
        <v>131</v>
      </c>
      <c r="D2414" t="s">
        <v>413</v>
      </c>
      <c r="E2414" s="43" t="s">
        <v>281</v>
      </c>
      <c r="F2414" t="s">
        <v>66</v>
      </c>
      <c r="G2414" s="42">
        <v>347.31</v>
      </c>
      <c r="N2414" s="38">
        <f t="shared" si="37"/>
        <v>0</v>
      </c>
    </row>
    <row r="2415" spans="1:14" x14ac:dyDescent="0.25">
      <c r="A2415" s="1" t="s">
        <v>83</v>
      </c>
      <c r="B2415" s="43" t="s">
        <v>143</v>
      </c>
      <c r="C2415" s="62">
        <f>VLOOKUP(B2415,合并仓明细!$D$2:$F$74,3,0)</f>
        <v>131</v>
      </c>
      <c r="D2415" t="s">
        <v>413</v>
      </c>
      <c r="E2415" s="43" t="s">
        <v>387</v>
      </c>
      <c r="F2415" t="s">
        <v>66</v>
      </c>
      <c r="G2415" s="42">
        <v>18.7</v>
      </c>
      <c r="H2415" s="35">
        <v>1.8699999999999998E-2</v>
      </c>
      <c r="I2415" s="46"/>
      <c r="K2415" s="1"/>
      <c r="L2415" s="37">
        <f>IF(H2415&gt;30,QUOTIENT(H2415,30)*VLOOKUP(D2415,'报价表-配送'!$B$9:$I$13,8,0),0)+IF(AND(MOD(H2415,30)&gt;18,MOD(H2415,30)&lt;=30),1,0)*VLOOKUP(D2415,'报价表-配送'!$B$9:$I$13,8,0)+IF(AND(MOD(H2415,30)&gt;8,MOD(H2415,30)&lt;=18),1*VLOOKUP(D2415,'报价表-配送'!$B$9:$I$13,7,0),0)+IF(AND(MOD(H2415,30)&lt;=8,MOD(H2415,30)&gt;2.5),1,0)*VLOOKUP(D2415,'报价表-配送'!$B$9:$I$13,6,0)+IF(AND(MOD(H2415,30)&lt;=2.5,MOD(H2415,30)&gt;=1.5),1,0)*VLOOKUP(D2415,'报价表-配送'!$B$9:$I$13,5,0)</f>
        <v>0</v>
      </c>
      <c r="M2415" s="39">
        <f>IF(AND(MOD(H2415,30)&lt;1.5,MOD(H2415,30)&gt;=0.5),H2415,0)*VLOOKUP(D2415,'报价表-配送'!$B$9:$I$13,4,0)*1000+IF(AND(MOD(H2415,30)&lt;0.5,MOD(H2415,30)&gt;=0.02),H2415,0)*VLOOKUP(D2415,'报价表-配送'!$B$9:$I$13,3,0)*1000+IF(AND(MOD(H2415,30)&lt;0.02),H2415,0)*VLOOKUP(D2415,'报价表-配送'!$B$9:$I$13,2,0)*1000</f>
        <v>0</v>
      </c>
      <c r="N2415" s="38">
        <f t="shared" si="37"/>
        <v>0</v>
      </c>
    </row>
    <row r="2416" spans="1:14" x14ac:dyDescent="0.25">
      <c r="A2416" s="1" t="s">
        <v>83</v>
      </c>
      <c r="B2416" s="43" t="s">
        <v>143</v>
      </c>
      <c r="C2416" s="62">
        <f>VLOOKUP(B2416,合并仓明细!$D$2:$F$74,3,0)</f>
        <v>131</v>
      </c>
      <c r="D2416" t="s">
        <v>413</v>
      </c>
      <c r="E2416" s="43" t="s">
        <v>338</v>
      </c>
      <c r="F2416" t="s">
        <v>67</v>
      </c>
      <c r="G2416" s="42">
        <v>34.15</v>
      </c>
      <c r="H2416" s="35">
        <v>0.27599000000000001</v>
      </c>
      <c r="I2416" s="38">
        <f>IF(H2416&gt;30,QUOTIENT(H2416,30)*VLOOKUP(D2416,'报价表-配送'!$B$9:$I$13,8,0),0)+IF(AND(MOD(H2416,30)&gt;18,MOD(H2416,30)&lt;=30),1,0)*VLOOKUP(D2416,'报价表-配送'!$B$9:$I$13,8,0)</f>
        <v>0</v>
      </c>
      <c r="J2416" s="38">
        <f>IF(AND(MOD(H2416,30)&gt;8,MOD(H2416,30)&lt;=18),1*VLOOKUP(D2416,'报价表-配送'!$B$9:$I$13,7,0),0)</f>
        <v>0</v>
      </c>
      <c r="K2416" s="38">
        <f>IF(AND(MOD(H2416,30)&lt;=8,MOD(H2416,30)&gt;0),1,0)*VLOOKUP(D2416,'报价表-配送'!$B$9:$I$13,6,0)</f>
        <v>0</v>
      </c>
      <c r="N2416" s="38">
        <f t="shared" si="37"/>
        <v>0</v>
      </c>
    </row>
    <row r="2417" spans="1:14" x14ac:dyDescent="0.25">
      <c r="A2417" s="1" t="s">
        <v>83</v>
      </c>
      <c r="B2417" s="43" t="s">
        <v>143</v>
      </c>
      <c r="C2417" s="62">
        <f>VLOOKUP(B2417,合并仓明细!$D$2:$F$74,3,0)</f>
        <v>131</v>
      </c>
      <c r="D2417" t="s">
        <v>413</v>
      </c>
      <c r="E2417" s="43" t="s">
        <v>338</v>
      </c>
      <c r="F2417" t="s">
        <v>66</v>
      </c>
      <c r="G2417" s="42">
        <v>241.84</v>
      </c>
      <c r="N2417" s="38">
        <f t="shared" si="37"/>
        <v>0</v>
      </c>
    </row>
    <row r="2418" spans="1:14" x14ac:dyDescent="0.25">
      <c r="A2418" s="1" t="s">
        <v>83</v>
      </c>
      <c r="B2418" s="43" t="s">
        <v>143</v>
      </c>
      <c r="C2418" s="62">
        <f>VLOOKUP(B2418,合并仓明细!$D$2:$F$74,3,0)</f>
        <v>131</v>
      </c>
      <c r="D2418" t="s">
        <v>413</v>
      </c>
      <c r="E2418" s="43" t="s">
        <v>282</v>
      </c>
      <c r="F2418" t="s">
        <v>67</v>
      </c>
      <c r="G2418" s="42">
        <v>2.72</v>
      </c>
      <c r="H2418" s="35">
        <v>2.0841499999999997</v>
      </c>
      <c r="I2418" s="38">
        <f>IF(H2418&gt;30,QUOTIENT(H2418,30)*VLOOKUP(D2418,'报价表-配送'!$B$9:$I$13,8,0),0)+IF(AND(MOD(H2418,30)&gt;18,MOD(H2418,30)&lt;=30),1,0)*VLOOKUP(D2418,'报价表-配送'!$B$9:$I$13,8,0)</f>
        <v>0</v>
      </c>
      <c r="J2418" s="38">
        <f>IF(AND(MOD(H2418,30)&gt;8,MOD(H2418,30)&lt;=18),1*VLOOKUP(D2418,'报价表-配送'!$B$9:$I$13,7,0),0)</f>
        <v>0</v>
      </c>
      <c r="K2418" s="38">
        <f>IF(AND(MOD(H2418,30)&lt;=8,MOD(H2418,30)&gt;0),1,0)*VLOOKUP(D2418,'报价表-配送'!$B$9:$I$13,6,0)</f>
        <v>0</v>
      </c>
      <c r="L2418" s="33"/>
      <c r="M2418" s="1"/>
      <c r="N2418" s="38">
        <f t="shared" si="37"/>
        <v>0</v>
      </c>
    </row>
    <row r="2419" spans="1:14" x14ac:dyDescent="0.25">
      <c r="A2419" s="1" t="s">
        <v>83</v>
      </c>
      <c r="B2419" s="43" t="s">
        <v>143</v>
      </c>
      <c r="C2419" s="62">
        <f>VLOOKUP(B2419,合并仓明细!$D$2:$F$74,3,0)</f>
        <v>131</v>
      </c>
      <c r="D2419" t="s">
        <v>413</v>
      </c>
      <c r="E2419" s="43" t="s">
        <v>282</v>
      </c>
      <c r="F2419" t="s">
        <v>66</v>
      </c>
      <c r="G2419" s="42">
        <v>2081.4299999999998</v>
      </c>
      <c r="N2419" s="38">
        <f t="shared" si="37"/>
        <v>0</v>
      </c>
    </row>
    <row r="2420" spans="1:14" x14ac:dyDescent="0.25">
      <c r="A2420" s="1" t="s">
        <v>83</v>
      </c>
      <c r="B2420" s="43" t="s">
        <v>143</v>
      </c>
      <c r="C2420" s="62">
        <f>VLOOKUP(B2420,合并仓明细!$D$2:$F$74,3,0)</f>
        <v>131</v>
      </c>
      <c r="D2420" t="s">
        <v>413</v>
      </c>
      <c r="E2420" s="43" t="s">
        <v>339</v>
      </c>
      <c r="F2420" t="s">
        <v>67</v>
      </c>
      <c r="G2420" s="42">
        <v>2.0499999999999998</v>
      </c>
      <c r="H2420" s="35">
        <v>8.0130000000000007E-2</v>
      </c>
      <c r="I2420" s="38">
        <f>IF(H2420&gt;30,QUOTIENT(H2420,30)*VLOOKUP(D2420,'报价表-配送'!$B$9:$I$13,8,0),0)+IF(AND(MOD(H2420,30)&gt;18,MOD(H2420,30)&lt;=30),1,0)*VLOOKUP(D2420,'报价表-配送'!$B$9:$I$13,8,0)</f>
        <v>0</v>
      </c>
      <c r="J2420" s="38">
        <f>IF(AND(MOD(H2420,30)&gt;8,MOD(H2420,30)&lt;=18),1*VLOOKUP(D2420,'报价表-配送'!$B$9:$I$13,7,0),0)</f>
        <v>0</v>
      </c>
      <c r="K2420" s="38">
        <f>IF(AND(MOD(H2420,30)&lt;=8,MOD(H2420,30)&gt;0),1,0)*VLOOKUP(D2420,'报价表-配送'!$B$9:$I$13,6,0)</f>
        <v>0</v>
      </c>
      <c r="N2420" s="38">
        <f t="shared" si="37"/>
        <v>0</v>
      </c>
    </row>
    <row r="2421" spans="1:14" x14ac:dyDescent="0.25">
      <c r="A2421" s="1" t="s">
        <v>83</v>
      </c>
      <c r="B2421" s="43" t="s">
        <v>143</v>
      </c>
      <c r="C2421" s="62">
        <f>VLOOKUP(B2421,合并仓明细!$D$2:$F$74,3,0)</f>
        <v>131</v>
      </c>
      <c r="D2421" t="s">
        <v>413</v>
      </c>
      <c r="E2421" s="43" t="s">
        <v>339</v>
      </c>
      <c r="F2421" t="s">
        <v>66</v>
      </c>
      <c r="G2421" s="42">
        <v>78.080000000000013</v>
      </c>
      <c r="I2421" s="46"/>
      <c r="K2421" s="1"/>
      <c r="L2421" s="33"/>
      <c r="M2421" s="1"/>
      <c r="N2421" s="38">
        <f t="shared" si="37"/>
        <v>0</v>
      </c>
    </row>
    <row r="2422" spans="1:14" x14ac:dyDescent="0.25">
      <c r="A2422" s="1" t="s">
        <v>83</v>
      </c>
      <c r="B2422" s="43" t="s">
        <v>143</v>
      </c>
      <c r="C2422" s="62">
        <f>VLOOKUP(B2422,合并仓明细!$D$2:$F$74,3,0)</f>
        <v>131</v>
      </c>
      <c r="D2422" t="s">
        <v>413</v>
      </c>
      <c r="E2422" s="43" t="s">
        <v>283</v>
      </c>
      <c r="F2422" t="s">
        <v>68</v>
      </c>
      <c r="G2422" s="42">
        <v>128.4</v>
      </c>
      <c r="H2422" s="35">
        <v>1.43302</v>
      </c>
      <c r="I2422" s="46">
        <f>ROUNDUP(H2422/30,0)*VLOOKUP(D2422,'报价表-配送'!$B$9:$I$13,8,0)</f>
        <v>0</v>
      </c>
      <c r="N2422" s="38">
        <f t="shared" si="37"/>
        <v>0</v>
      </c>
    </row>
    <row r="2423" spans="1:14" x14ac:dyDescent="0.25">
      <c r="A2423" s="1" t="s">
        <v>83</v>
      </c>
      <c r="B2423" s="43" t="s">
        <v>143</v>
      </c>
      <c r="C2423" s="62">
        <f>VLOOKUP(B2423,合并仓明细!$D$2:$F$74,3,0)</f>
        <v>131</v>
      </c>
      <c r="D2423" t="s">
        <v>413</v>
      </c>
      <c r="E2423" s="43" t="s">
        <v>283</v>
      </c>
      <c r="F2423" t="s">
        <v>67</v>
      </c>
      <c r="G2423" s="42">
        <v>224.06</v>
      </c>
      <c r="N2423" s="38">
        <f t="shared" si="37"/>
        <v>0</v>
      </c>
    </row>
    <row r="2424" spans="1:14" x14ac:dyDescent="0.25">
      <c r="A2424" s="1" t="s">
        <v>83</v>
      </c>
      <c r="B2424" s="43" t="s">
        <v>143</v>
      </c>
      <c r="C2424" s="62">
        <f>VLOOKUP(B2424,合并仓明细!$D$2:$F$74,3,0)</f>
        <v>131</v>
      </c>
      <c r="D2424" t="s">
        <v>413</v>
      </c>
      <c r="E2424" s="43" t="s">
        <v>283</v>
      </c>
      <c r="F2424" t="s">
        <v>66</v>
      </c>
      <c r="G2424" s="42">
        <v>1080.56</v>
      </c>
      <c r="I2424" s="46"/>
      <c r="K2424" s="1"/>
      <c r="L2424" s="33"/>
      <c r="M2424" s="1"/>
      <c r="N2424" s="38">
        <f t="shared" si="37"/>
        <v>0</v>
      </c>
    </row>
    <row r="2425" spans="1:14" x14ac:dyDescent="0.25">
      <c r="A2425" s="1" t="s">
        <v>83</v>
      </c>
      <c r="B2425" s="43" t="s">
        <v>143</v>
      </c>
      <c r="C2425" s="62">
        <f>VLOOKUP(B2425,合并仓明细!$D$2:$F$74,3,0)</f>
        <v>131</v>
      </c>
      <c r="D2425" t="s">
        <v>413</v>
      </c>
      <c r="E2425" s="43" t="s">
        <v>323</v>
      </c>
      <c r="F2425" t="s">
        <v>68</v>
      </c>
      <c r="G2425" s="42">
        <v>1056.8900000000001</v>
      </c>
      <c r="H2425" s="35">
        <v>5.5968200000000001</v>
      </c>
      <c r="I2425" s="46">
        <f>ROUNDUP(H2425/30,0)*VLOOKUP(D2425,'报价表-配送'!$B$9:$I$13,8,0)</f>
        <v>0</v>
      </c>
      <c r="N2425" s="38">
        <f t="shared" si="37"/>
        <v>0</v>
      </c>
    </row>
    <row r="2426" spans="1:14" x14ac:dyDescent="0.25">
      <c r="A2426" s="1" t="s">
        <v>83</v>
      </c>
      <c r="B2426" s="43" t="s">
        <v>143</v>
      </c>
      <c r="C2426" s="62">
        <f>VLOOKUP(B2426,合并仓明细!$D$2:$F$74,3,0)</f>
        <v>131</v>
      </c>
      <c r="D2426" t="s">
        <v>413</v>
      </c>
      <c r="E2426" s="43" t="s">
        <v>323</v>
      </c>
      <c r="F2426" t="s">
        <v>67</v>
      </c>
      <c r="G2426" s="42">
        <v>3136.8300000000004</v>
      </c>
      <c r="N2426" s="38">
        <f t="shared" si="37"/>
        <v>0</v>
      </c>
    </row>
    <row r="2427" spans="1:14" x14ac:dyDescent="0.25">
      <c r="A2427" s="1" t="s">
        <v>83</v>
      </c>
      <c r="B2427" s="43" t="s">
        <v>143</v>
      </c>
      <c r="C2427" s="62">
        <f>VLOOKUP(B2427,合并仓明细!$D$2:$F$74,3,0)</f>
        <v>131</v>
      </c>
      <c r="D2427" t="s">
        <v>413</v>
      </c>
      <c r="E2427" s="43" t="s">
        <v>323</v>
      </c>
      <c r="F2427" t="s">
        <v>66</v>
      </c>
      <c r="G2427" s="42">
        <v>1403.0999999999995</v>
      </c>
      <c r="I2427" s="46"/>
      <c r="K2427" s="1"/>
      <c r="L2427" s="33"/>
      <c r="M2427" s="1"/>
      <c r="N2427" s="38">
        <f t="shared" si="37"/>
        <v>0</v>
      </c>
    </row>
    <row r="2428" spans="1:14" x14ac:dyDescent="0.25">
      <c r="A2428" s="1" t="s">
        <v>83</v>
      </c>
      <c r="B2428" s="43" t="s">
        <v>143</v>
      </c>
      <c r="C2428" s="62">
        <f>VLOOKUP(B2428,合并仓明细!$D$2:$F$74,3,0)</f>
        <v>131</v>
      </c>
      <c r="D2428" t="s">
        <v>413</v>
      </c>
      <c r="E2428" s="43" t="s">
        <v>313</v>
      </c>
      <c r="F2428" t="s">
        <v>67</v>
      </c>
      <c r="G2428" s="42">
        <v>57.15</v>
      </c>
      <c r="H2428" s="35">
        <v>8.9789999999999995E-2</v>
      </c>
      <c r="I2428" s="38">
        <f>IF(H2428&gt;30,QUOTIENT(H2428,30)*VLOOKUP(D2428,'报价表-配送'!$B$9:$I$13,8,0),0)+IF(AND(MOD(H2428,30)&gt;18,MOD(H2428,30)&lt;=30),1,0)*VLOOKUP(D2428,'报价表-配送'!$B$9:$I$13,8,0)</f>
        <v>0</v>
      </c>
      <c r="J2428" s="38">
        <f>IF(AND(MOD(H2428,30)&gt;8,MOD(H2428,30)&lt;=18),1*VLOOKUP(D2428,'报价表-配送'!$B$9:$I$13,7,0),0)</f>
        <v>0</v>
      </c>
      <c r="K2428" s="38">
        <f>IF(AND(MOD(H2428,30)&lt;=8,MOD(H2428,30)&gt;0),1,0)*VLOOKUP(D2428,'报价表-配送'!$B$9:$I$13,6,0)</f>
        <v>0</v>
      </c>
      <c r="N2428" s="38">
        <f t="shared" si="37"/>
        <v>0</v>
      </c>
    </row>
    <row r="2429" spans="1:14" x14ac:dyDescent="0.25">
      <c r="A2429" s="1" t="s">
        <v>83</v>
      </c>
      <c r="B2429" s="43" t="s">
        <v>143</v>
      </c>
      <c r="C2429" s="62">
        <f>VLOOKUP(B2429,合并仓明细!$D$2:$F$74,3,0)</f>
        <v>131</v>
      </c>
      <c r="D2429" t="s">
        <v>413</v>
      </c>
      <c r="E2429" s="43" t="s">
        <v>313</v>
      </c>
      <c r="F2429" t="s">
        <v>66</v>
      </c>
      <c r="G2429" s="42">
        <v>32.64</v>
      </c>
      <c r="N2429" s="38">
        <f t="shared" si="37"/>
        <v>0</v>
      </c>
    </row>
    <row r="2430" spans="1:14" x14ac:dyDescent="0.25">
      <c r="A2430" s="1" t="s">
        <v>83</v>
      </c>
      <c r="B2430" s="43" t="s">
        <v>143</v>
      </c>
      <c r="C2430" s="62">
        <f>VLOOKUP(B2430,合并仓明细!$D$2:$F$74,3,0)</f>
        <v>131</v>
      </c>
      <c r="D2430" t="s">
        <v>413</v>
      </c>
      <c r="E2430" s="43" t="s">
        <v>284</v>
      </c>
      <c r="F2430" t="s">
        <v>67</v>
      </c>
      <c r="G2430" s="42">
        <v>763.29</v>
      </c>
      <c r="H2430" s="35">
        <v>0.93164000000000002</v>
      </c>
      <c r="I2430" s="38">
        <f>IF(H2430&gt;30,QUOTIENT(H2430,30)*VLOOKUP(D2430,'报价表-配送'!$B$9:$I$13,8,0),0)+IF(AND(MOD(H2430,30)&gt;18,MOD(H2430,30)&lt;=30),1,0)*VLOOKUP(D2430,'报价表-配送'!$B$9:$I$13,8,0)</f>
        <v>0</v>
      </c>
      <c r="J2430" s="38">
        <f>IF(AND(MOD(H2430,30)&gt;8,MOD(H2430,30)&lt;=18),1*VLOOKUP(D2430,'报价表-配送'!$B$9:$I$13,7,0),0)</f>
        <v>0</v>
      </c>
      <c r="K2430" s="38">
        <f>IF(AND(MOD(H2430,30)&lt;=8,MOD(H2430,30)&gt;0),1,0)*VLOOKUP(D2430,'报价表-配送'!$B$9:$I$13,6,0)</f>
        <v>0</v>
      </c>
      <c r="L2430" s="33"/>
      <c r="M2430" s="1"/>
      <c r="N2430" s="38">
        <f t="shared" si="37"/>
        <v>0</v>
      </c>
    </row>
    <row r="2431" spans="1:14" x14ac:dyDescent="0.25">
      <c r="A2431" s="1" t="s">
        <v>83</v>
      </c>
      <c r="B2431" s="43" t="s">
        <v>143</v>
      </c>
      <c r="C2431" s="62">
        <f>VLOOKUP(B2431,合并仓明细!$D$2:$F$74,3,0)</f>
        <v>131</v>
      </c>
      <c r="D2431" t="s">
        <v>413</v>
      </c>
      <c r="E2431" s="43" t="s">
        <v>284</v>
      </c>
      <c r="F2431" t="s">
        <v>66</v>
      </c>
      <c r="G2431" s="42">
        <v>168.35000000000005</v>
      </c>
      <c r="N2431" s="38">
        <f t="shared" si="37"/>
        <v>0</v>
      </c>
    </row>
    <row r="2432" spans="1:14" x14ac:dyDescent="0.25">
      <c r="A2432" s="1" t="s">
        <v>83</v>
      </c>
      <c r="B2432" s="43" t="s">
        <v>143</v>
      </c>
      <c r="C2432" s="62">
        <f>VLOOKUP(B2432,合并仓明细!$D$2:$F$74,3,0)</f>
        <v>131</v>
      </c>
      <c r="D2432" t="s">
        <v>413</v>
      </c>
      <c r="E2432" s="43" t="s">
        <v>285</v>
      </c>
      <c r="F2432" t="s">
        <v>66</v>
      </c>
      <c r="G2432" s="42">
        <v>51.5</v>
      </c>
      <c r="H2432" s="35">
        <v>5.1499999999999997E-2</v>
      </c>
      <c r="L2432" s="37">
        <f>IF(H2432&gt;30,QUOTIENT(H2432,30)*VLOOKUP(D2432,'报价表-配送'!$B$9:$I$13,8,0),0)+IF(AND(MOD(H2432,30)&gt;18,MOD(H2432,30)&lt;=30),1,0)*VLOOKUP(D2432,'报价表-配送'!$B$9:$I$13,8,0)+IF(AND(MOD(H2432,30)&gt;8,MOD(H2432,30)&lt;=18),1*VLOOKUP(D2432,'报价表-配送'!$B$9:$I$13,7,0),0)+IF(AND(MOD(H2432,30)&lt;=8,MOD(H2432,30)&gt;2.5),1,0)*VLOOKUP(D2432,'报价表-配送'!$B$9:$I$13,6,0)+IF(AND(MOD(H2432,30)&lt;=2.5,MOD(H2432,30)&gt;=1.5),1,0)*VLOOKUP(D2432,'报价表-配送'!$B$9:$I$13,5,0)</f>
        <v>0</v>
      </c>
      <c r="M2432" s="39">
        <f>IF(AND(MOD(H2432,30)&lt;1.5,MOD(H2432,30)&gt;=0.5),H2432,0)*VLOOKUP(D2432,'报价表-配送'!$B$9:$I$13,4,0)*1000+IF(AND(MOD(H2432,30)&lt;0.5,MOD(H2432,30)&gt;=0.02),H2432,0)*VLOOKUP(D2432,'报价表-配送'!$B$9:$I$13,3,0)*1000+IF(AND(MOD(H2432,30)&lt;0.02),H2432,0)*VLOOKUP(D2432,'报价表-配送'!$B$9:$I$13,2,0)*1000</f>
        <v>0</v>
      </c>
      <c r="N2432" s="38">
        <f t="shared" si="37"/>
        <v>0</v>
      </c>
    </row>
    <row r="2433" spans="1:14" x14ac:dyDescent="0.25">
      <c r="A2433" s="1" t="s">
        <v>83</v>
      </c>
      <c r="B2433" s="43" t="s">
        <v>143</v>
      </c>
      <c r="C2433" s="62">
        <f>VLOOKUP(B2433,合并仓明细!$D$2:$F$74,3,0)</f>
        <v>131</v>
      </c>
      <c r="D2433" t="s">
        <v>413</v>
      </c>
      <c r="E2433" s="43" t="s">
        <v>329</v>
      </c>
      <c r="F2433" t="s">
        <v>68</v>
      </c>
      <c r="G2433" s="42">
        <v>141.77000000000001</v>
      </c>
      <c r="H2433" s="35">
        <v>0.56279000000000001</v>
      </c>
      <c r="I2433" s="46">
        <f>ROUNDUP(H2433/30,0)*VLOOKUP(D2433,'报价表-配送'!$B$9:$I$13,8,0)</f>
        <v>0</v>
      </c>
      <c r="L2433" s="37"/>
      <c r="M2433" s="39"/>
      <c r="N2433" s="38">
        <f t="shared" si="37"/>
        <v>0</v>
      </c>
    </row>
    <row r="2434" spans="1:14" x14ac:dyDescent="0.25">
      <c r="A2434" s="1" t="s">
        <v>83</v>
      </c>
      <c r="B2434" s="43" t="s">
        <v>143</v>
      </c>
      <c r="C2434" s="62">
        <f>VLOOKUP(B2434,合并仓明细!$D$2:$F$74,3,0)</f>
        <v>131</v>
      </c>
      <c r="D2434" t="s">
        <v>413</v>
      </c>
      <c r="E2434" s="43" t="s">
        <v>329</v>
      </c>
      <c r="F2434" t="s">
        <v>67</v>
      </c>
      <c r="G2434" s="42">
        <v>224.26999999999998</v>
      </c>
      <c r="L2434" s="37"/>
      <c r="M2434" s="39"/>
      <c r="N2434" s="38">
        <f t="shared" si="37"/>
        <v>0</v>
      </c>
    </row>
    <row r="2435" spans="1:14" x14ac:dyDescent="0.25">
      <c r="A2435" s="1" t="s">
        <v>83</v>
      </c>
      <c r="B2435" s="43" t="s">
        <v>143</v>
      </c>
      <c r="C2435" s="62">
        <f>VLOOKUP(B2435,合并仓明细!$D$2:$F$74,3,0)</f>
        <v>131</v>
      </c>
      <c r="D2435" t="s">
        <v>413</v>
      </c>
      <c r="E2435" s="43" t="s">
        <v>329</v>
      </c>
      <c r="F2435" t="s">
        <v>66</v>
      </c>
      <c r="G2435" s="42">
        <v>196.75</v>
      </c>
      <c r="I2435" s="52"/>
      <c r="J2435" s="52"/>
      <c r="K2435" s="52"/>
      <c r="L2435" s="37"/>
      <c r="M2435" s="37"/>
      <c r="N2435" s="38">
        <f t="shared" si="37"/>
        <v>0</v>
      </c>
    </row>
    <row r="2436" spans="1:14" x14ac:dyDescent="0.25">
      <c r="A2436" s="1" t="s">
        <v>83</v>
      </c>
      <c r="B2436" s="43" t="s">
        <v>143</v>
      </c>
      <c r="C2436" s="62">
        <f>VLOOKUP(B2436,合并仓明细!$D$2:$F$74,3,0)</f>
        <v>131</v>
      </c>
      <c r="D2436" t="s">
        <v>413</v>
      </c>
      <c r="E2436" s="43" t="s">
        <v>388</v>
      </c>
      <c r="F2436" t="s">
        <v>66</v>
      </c>
      <c r="G2436" s="42">
        <v>822.83999999999992</v>
      </c>
      <c r="H2436" s="35">
        <v>0.8228399999999999</v>
      </c>
      <c r="L2436" s="37">
        <f>IF(H2436&gt;30,QUOTIENT(H2436,30)*VLOOKUP(D2436,'报价表-配送'!$B$9:$I$13,8,0),0)+IF(AND(MOD(H2436,30)&gt;18,MOD(H2436,30)&lt;=30),1,0)*VLOOKUP(D2436,'报价表-配送'!$B$9:$I$13,8,0)+IF(AND(MOD(H2436,30)&gt;8,MOD(H2436,30)&lt;=18),1*VLOOKUP(D2436,'报价表-配送'!$B$9:$I$13,7,0),0)+IF(AND(MOD(H2436,30)&lt;=8,MOD(H2436,30)&gt;2.5),1,0)*VLOOKUP(D2436,'报价表-配送'!$B$9:$I$13,6,0)+IF(AND(MOD(H2436,30)&lt;=2.5,MOD(H2436,30)&gt;=1.5),1,0)*VLOOKUP(D2436,'报价表-配送'!$B$9:$I$13,5,0)</f>
        <v>0</v>
      </c>
      <c r="M2436" s="39">
        <f>IF(AND(MOD(H2436,30)&lt;1.5,MOD(H2436,30)&gt;=0.5),H2436,0)*VLOOKUP(D2436,'报价表-配送'!$B$9:$I$13,4,0)*1000+IF(AND(MOD(H2436,30)&lt;0.5,MOD(H2436,30)&gt;=0.02),H2436,0)*VLOOKUP(D2436,'报价表-配送'!$B$9:$I$13,3,0)*1000+IF(AND(MOD(H2436,30)&lt;0.02),H2436,0)*VLOOKUP(D2436,'报价表-配送'!$B$9:$I$13,2,0)*1000</f>
        <v>0</v>
      </c>
      <c r="N2436" s="38">
        <f t="shared" si="37"/>
        <v>0</v>
      </c>
    </row>
    <row r="2437" spans="1:14" x14ac:dyDescent="0.25">
      <c r="A2437" s="1" t="s">
        <v>83</v>
      </c>
      <c r="B2437" s="43" t="s">
        <v>143</v>
      </c>
      <c r="C2437" s="62">
        <f>VLOOKUP(B2437,合并仓明细!$D$2:$F$74,3,0)</f>
        <v>131</v>
      </c>
      <c r="D2437" t="s">
        <v>413</v>
      </c>
      <c r="E2437" s="43" t="s">
        <v>372</v>
      </c>
      <c r="F2437" t="s">
        <v>68</v>
      </c>
      <c r="G2437" s="42">
        <v>25.55</v>
      </c>
      <c r="H2437" s="35">
        <v>14.737020000000003</v>
      </c>
      <c r="I2437" s="46">
        <f>ROUNDUP(H2437/30,0)*VLOOKUP(D2437,'报价表-配送'!$B$9:$I$13,8,0)</f>
        <v>0</v>
      </c>
      <c r="J2437" s="52"/>
      <c r="K2437" s="52"/>
      <c r="L2437" s="37"/>
      <c r="M2437" s="37"/>
      <c r="N2437" s="38">
        <f t="shared" si="37"/>
        <v>0</v>
      </c>
    </row>
    <row r="2438" spans="1:14" x14ac:dyDescent="0.25">
      <c r="A2438" s="1" t="s">
        <v>83</v>
      </c>
      <c r="B2438" s="43" t="s">
        <v>143</v>
      </c>
      <c r="C2438" s="62">
        <f>VLOOKUP(B2438,合并仓明细!$D$2:$F$74,3,0)</f>
        <v>131</v>
      </c>
      <c r="D2438" t="s">
        <v>413</v>
      </c>
      <c r="E2438" s="43" t="s">
        <v>372</v>
      </c>
      <c r="F2438" t="s">
        <v>67</v>
      </c>
      <c r="G2438" s="42">
        <v>13503.300000000003</v>
      </c>
      <c r="N2438" s="38">
        <f t="shared" si="37"/>
        <v>0</v>
      </c>
    </row>
    <row r="2439" spans="1:14" x14ac:dyDescent="0.25">
      <c r="A2439" s="1" t="s">
        <v>83</v>
      </c>
      <c r="B2439" s="43" t="s">
        <v>143</v>
      </c>
      <c r="C2439" s="62">
        <f>VLOOKUP(B2439,合并仓明细!$D$2:$F$74,3,0)</f>
        <v>131</v>
      </c>
      <c r="D2439" t="s">
        <v>413</v>
      </c>
      <c r="E2439" s="43" t="s">
        <v>372</v>
      </c>
      <c r="F2439" t="s">
        <v>66</v>
      </c>
      <c r="G2439" s="42">
        <v>1208.1699999999998</v>
      </c>
      <c r="I2439" s="46"/>
      <c r="K2439" s="1"/>
      <c r="L2439" s="33"/>
      <c r="M2439" s="1"/>
      <c r="N2439" s="38">
        <f t="shared" si="37"/>
        <v>0</v>
      </c>
    </row>
    <row r="2440" spans="1:14" x14ac:dyDescent="0.25">
      <c r="A2440" s="1" t="s">
        <v>83</v>
      </c>
      <c r="B2440" s="43" t="s">
        <v>143</v>
      </c>
      <c r="C2440" s="62">
        <f>VLOOKUP(B2440,合并仓明细!$D$2:$F$74,3,0)</f>
        <v>131</v>
      </c>
      <c r="D2440" t="s">
        <v>413</v>
      </c>
      <c r="E2440" s="43" t="s">
        <v>247</v>
      </c>
      <c r="F2440" t="s">
        <v>68</v>
      </c>
      <c r="G2440" s="42">
        <v>4.37</v>
      </c>
      <c r="H2440" s="35">
        <v>0.6793499999999999</v>
      </c>
      <c r="I2440" s="46">
        <f>ROUNDUP(H2440/30,0)*VLOOKUP(D2440,'报价表-配送'!$B$9:$I$13,8,0)</f>
        <v>0</v>
      </c>
      <c r="N2440" s="38">
        <f t="shared" si="37"/>
        <v>0</v>
      </c>
    </row>
    <row r="2441" spans="1:14" x14ac:dyDescent="0.25">
      <c r="A2441" s="1" t="s">
        <v>83</v>
      </c>
      <c r="B2441" s="43" t="s">
        <v>143</v>
      </c>
      <c r="C2441" s="62">
        <f>VLOOKUP(B2441,合并仓明细!$D$2:$F$74,3,0)</f>
        <v>131</v>
      </c>
      <c r="D2441" t="s">
        <v>413</v>
      </c>
      <c r="E2441" s="43" t="s">
        <v>247</v>
      </c>
      <c r="F2441" t="s">
        <v>67</v>
      </c>
      <c r="G2441" s="42">
        <v>449.90999999999997</v>
      </c>
      <c r="N2441" s="38">
        <f t="shared" si="37"/>
        <v>0</v>
      </c>
    </row>
    <row r="2442" spans="1:14" x14ac:dyDescent="0.25">
      <c r="A2442" s="1" t="s">
        <v>83</v>
      </c>
      <c r="B2442" s="43" t="s">
        <v>143</v>
      </c>
      <c r="C2442" s="62">
        <f>VLOOKUP(B2442,合并仓明细!$D$2:$F$74,3,0)</f>
        <v>131</v>
      </c>
      <c r="D2442" t="s">
        <v>413</v>
      </c>
      <c r="E2442" s="43" t="s">
        <v>247</v>
      </c>
      <c r="F2442" t="s">
        <v>66</v>
      </c>
      <c r="G2442" s="42">
        <v>225.06999999999996</v>
      </c>
      <c r="I2442" s="46"/>
      <c r="K2442" s="1"/>
      <c r="L2442" s="33"/>
      <c r="M2442" s="1"/>
      <c r="N2442" s="38">
        <f t="shared" si="37"/>
        <v>0</v>
      </c>
    </row>
    <row r="2443" spans="1:14" x14ac:dyDescent="0.25">
      <c r="A2443" s="1" t="s">
        <v>83</v>
      </c>
      <c r="B2443" s="43" t="s">
        <v>143</v>
      </c>
      <c r="C2443" s="62">
        <f>VLOOKUP(B2443,合并仓明细!$D$2:$F$74,3,0)</f>
        <v>131</v>
      </c>
      <c r="D2443" t="s">
        <v>413</v>
      </c>
      <c r="E2443" s="43" t="s">
        <v>314</v>
      </c>
      <c r="F2443" t="s">
        <v>67</v>
      </c>
      <c r="G2443" s="42">
        <v>964.86</v>
      </c>
      <c r="H2443" s="35">
        <v>1.2271300000000001</v>
      </c>
      <c r="I2443" s="38">
        <f>IF(H2443&gt;30,QUOTIENT(H2443,30)*VLOOKUP(D2443,'报价表-配送'!$B$9:$I$13,8,0),0)+IF(AND(MOD(H2443,30)&gt;18,MOD(H2443,30)&lt;=30),1,0)*VLOOKUP(D2443,'报价表-配送'!$B$9:$I$13,8,0)</f>
        <v>0</v>
      </c>
      <c r="J2443" s="38">
        <f>IF(AND(MOD(H2443,30)&gt;8,MOD(H2443,30)&lt;=18),1*VLOOKUP(D2443,'报价表-配送'!$B$9:$I$13,7,0),0)</f>
        <v>0</v>
      </c>
      <c r="K2443" s="38">
        <f>IF(AND(MOD(H2443,30)&lt;=8,MOD(H2443,30)&gt;0),1,0)*VLOOKUP(D2443,'报价表-配送'!$B$9:$I$13,6,0)</f>
        <v>0</v>
      </c>
      <c r="N2443" s="38">
        <f t="shared" si="37"/>
        <v>0</v>
      </c>
    </row>
    <row r="2444" spans="1:14" x14ac:dyDescent="0.25">
      <c r="A2444" s="1" t="s">
        <v>83</v>
      </c>
      <c r="B2444" s="45" t="s">
        <v>143</v>
      </c>
      <c r="C2444" s="62">
        <f>VLOOKUP(B2444,合并仓明细!$D$2:$F$74,3,0)</f>
        <v>131</v>
      </c>
      <c r="D2444" t="s">
        <v>413</v>
      </c>
      <c r="E2444" s="43" t="s">
        <v>314</v>
      </c>
      <c r="F2444" t="s">
        <v>66</v>
      </c>
      <c r="G2444" s="42">
        <v>262.27</v>
      </c>
      <c r="N2444" s="38">
        <f t="shared" si="37"/>
        <v>0</v>
      </c>
    </row>
    <row r="2445" spans="1:14" x14ac:dyDescent="0.25">
      <c r="A2445" s="1" t="s">
        <v>83</v>
      </c>
      <c r="B2445" s="44" t="s">
        <v>143</v>
      </c>
      <c r="C2445" s="62">
        <f>VLOOKUP(B2445,合并仓明细!$D$2:$F$74,3,0)</f>
        <v>131</v>
      </c>
      <c r="D2445" t="s">
        <v>413</v>
      </c>
      <c r="E2445" s="43" t="s">
        <v>315</v>
      </c>
      <c r="F2445" t="s">
        <v>66</v>
      </c>
      <c r="G2445" s="42">
        <v>7.2799999999999994</v>
      </c>
      <c r="H2445" s="35">
        <v>7.2799999999999991E-3</v>
      </c>
      <c r="L2445" s="37">
        <f>IF(H2445&gt;30,QUOTIENT(H2445,30)*VLOOKUP(D2445,'报价表-配送'!$B$9:$I$13,8,0),0)+IF(AND(MOD(H2445,30)&gt;18,MOD(H2445,30)&lt;=30),1,0)*VLOOKUP(D2445,'报价表-配送'!$B$9:$I$13,8,0)+IF(AND(MOD(H2445,30)&gt;8,MOD(H2445,30)&lt;=18),1*VLOOKUP(D2445,'报价表-配送'!$B$9:$I$13,7,0),0)+IF(AND(MOD(H2445,30)&lt;=8,MOD(H2445,30)&gt;2.5),1,0)*VLOOKUP(D2445,'报价表-配送'!$B$9:$I$13,6,0)+IF(AND(MOD(H2445,30)&lt;=2.5,MOD(H2445,30)&gt;=1.5),1,0)*VLOOKUP(D2445,'报价表-配送'!$B$9:$I$13,5,0)</f>
        <v>0</v>
      </c>
      <c r="M2445" s="39">
        <f>IF(AND(MOD(H2445,30)&lt;1.5,MOD(H2445,30)&gt;=0.5),H2445,0)*VLOOKUP(D2445,'报价表-配送'!$B$9:$I$13,4,0)*1000+IF(AND(MOD(H2445,30)&lt;0.5,MOD(H2445,30)&gt;=0.02),H2445,0)*VLOOKUP(D2445,'报价表-配送'!$B$9:$I$13,3,0)*1000+IF(AND(MOD(H2445,30)&lt;0.02),H2445,0)*VLOOKUP(D2445,'报价表-配送'!$B$9:$I$13,2,0)*1000</f>
        <v>0</v>
      </c>
      <c r="N2445" s="38">
        <f t="shared" si="37"/>
        <v>0</v>
      </c>
    </row>
    <row r="2446" spans="1:14" x14ac:dyDescent="0.25">
      <c r="A2446" s="1" t="s">
        <v>83</v>
      </c>
      <c r="B2446" s="43" t="s">
        <v>143</v>
      </c>
      <c r="C2446" s="62">
        <f>VLOOKUP(B2446,合并仓明细!$D$2:$F$74,3,0)</f>
        <v>131</v>
      </c>
      <c r="D2446" t="s">
        <v>413</v>
      </c>
      <c r="E2446" s="43" t="s">
        <v>316</v>
      </c>
      <c r="F2446" t="s">
        <v>68</v>
      </c>
      <c r="G2446" s="42">
        <v>965.75</v>
      </c>
      <c r="H2446" s="35">
        <v>9.3269000000000002</v>
      </c>
      <c r="I2446" s="46">
        <f>ROUNDUP(H2446/30,0)*VLOOKUP(D2446,'报价表-配送'!$B$9:$I$13,8,0)</f>
        <v>0</v>
      </c>
      <c r="L2446" s="37"/>
      <c r="M2446" s="39"/>
      <c r="N2446" s="38">
        <f t="shared" si="37"/>
        <v>0</v>
      </c>
    </row>
    <row r="2447" spans="1:14" x14ac:dyDescent="0.25">
      <c r="A2447" s="1" t="s">
        <v>83</v>
      </c>
      <c r="B2447" s="43" t="s">
        <v>143</v>
      </c>
      <c r="C2447" s="62">
        <f>VLOOKUP(B2447,合并仓明细!$D$2:$F$74,3,0)</f>
        <v>131</v>
      </c>
      <c r="D2447" t="s">
        <v>413</v>
      </c>
      <c r="E2447" s="43" t="s">
        <v>316</v>
      </c>
      <c r="F2447" t="s">
        <v>67</v>
      </c>
      <c r="G2447" s="42">
        <v>6108.76</v>
      </c>
      <c r="I2447" s="52"/>
      <c r="J2447" s="52"/>
      <c r="K2447" s="52"/>
      <c r="L2447" s="37"/>
      <c r="M2447" s="37"/>
      <c r="N2447" s="38">
        <f t="shared" si="37"/>
        <v>0</v>
      </c>
    </row>
    <row r="2448" spans="1:14" x14ac:dyDescent="0.25">
      <c r="A2448" s="1" t="s">
        <v>83</v>
      </c>
      <c r="B2448" s="43" t="s">
        <v>143</v>
      </c>
      <c r="C2448" s="62">
        <f>VLOOKUP(B2448,合并仓明细!$D$2:$F$74,3,0)</f>
        <v>131</v>
      </c>
      <c r="D2448" t="s">
        <v>413</v>
      </c>
      <c r="E2448" s="43" t="s">
        <v>316</v>
      </c>
      <c r="F2448" t="s">
        <v>66</v>
      </c>
      <c r="G2448" s="42">
        <v>2252.3899999999994</v>
      </c>
      <c r="N2448" s="38">
        <f t="shared" si="37"/>
        <v>0</v>
      </c>
    </row>
    <row r="2449" spans="1:14" x14ac:dyDescent="0.25">
      <c r="A2449" s="1" t="s">
        <v>83</v>
      </c>
      <c r="B2449" s="43" t="s">
        <v>143</v>
      </c>
      <c r="C2449" s="62">
        <f>VLOOKUP(B2449,合并仓明细!$D$2:$F$74,3,0)</f>
        <v>131</v>
      </c>
      <c r="D2449" t="s">
        <v>413</v>
      </c>
      <c r="E2449" s="43" t="s">
        <v>248</v>
      </c>
      <c r="F2449" t="s">
        <v>67</v>
      </c>
      <c r="G2449" s="42">
        <v>44.61</v>
      </c>
      <c r="H2449" s="35">
        <v>7.5939999999999994E-2</v>
      </c>
      <c r="I2449" s="38">
        <f>IF(H2449&gt;30,QUOTIENT(H2449,30)*VLOOKUP(D2449,'报价表-配送'!$B$9:$I$13,8,0),0)+IF(AND(MOD(H2449,30)&gt;18,MOD(H2449,30)&lt;=30),1,0)*VLOOKUP(D2449,'报价表-配送'!$B$9:$I$13,8,0)</f>
        <v>0</v>
      </c>
      <c r="J2449" s="38">
        <f>IF(AND(MOD(H2449,30)&gt;8,MOD(H2449,30)&lt;=18),1*VLOOKUP(D2449,'报价表-配送'!$B$9:$I$13,7,0),0)</f>
        <v>0</v>
      </c>
      <c r="K2449" s="38">
        <f>IF(AND(MOD(H2449,30)&lt;=8,MOD(H2449,30)&gt;0),1,0)*VLOOKUP(D2449,'报价表-配送'!$B$9:$I$13,6,0)</f>
        <v>0</v>
      </c>
      <c r="L2449" s="37"/>
      <c r="M2449" s="39"/>
      <c r="N2449" s="38">
        <f t="shared" si="37"/>
        <v>0</v>
      </c>
    </row>
    <row r="2450" spans="1:14" x14ac:dyDescent="0.25">
      <c r="A2450" s="1" t="s">
        <v>83</v>
      </c>
      <c r="B2450" s="43" t="s">
        <v>143</v>
      </c>
      <c r="C2450" s="62">
        <f>VLOOKUP(B2450,合并仓明细!$D$2:$F$74,3,0)</f>
        <v>131</v>
      </c>
      <c r="D2450" t="s">
        <v>413</v>
      </c>
      <c r="E2450" s="43" t="s">
        <v>248</v>
      </c>
      <c r="F2450" t="s">
        <v>66</v>
      </c>
      <c r="G2450" s="42">
        <v>31.33</v>
      </c>
      <c r="L2450" s="37"/>
      <c r="M2450" s="39"/>
      <c r="N2450" s="38">
        <f t="shared" si="37"/>
        <v>0</v>
      </c>
    </row>
    <row r="2451" spans="1:14" x14ac:dyDescent="0.25">
      <c r="A2451" s="1" t="s">
        <v>83</v>
      </c>
      <c r="B2451" s="43" t="s">
        <v>143</v>
      </c>
      <c r="C2451" s="62">
        <f>VLOOKUP(B2451,合并仓明细!$D$2:$F$74,3,0)</f>
        <v>131</v>
      </c>
      <c r="D2451" t="s">
        <v>413</v>
      </c>
      <c r="E2451" s="43" t="s">
        <v>291</v>
      </c>
      <c r="F2451" t="s">
        <v>68</v>
      </c>
      <c r="G2451" s="42">
        <v>9.9</v>
      </c>
      <c r="H2451" s="35">
        <v>4.735000000000001E-2</v>
      </c>
      <c r="I2451" s="46">
        <f>ROUNDUP(H2451/30,0)*VLOOKUP(D2451,'报价表-配送'!$B$9:$I$13,8,0)</f>
        <v>0</v>
      </c>
      <c r="J2451" s="52"/>
      <c r="K2451" s="52"/>
      <c r="L2451" s="37"/>
      <c r="M2451" s="37"/>
      <c r="N2451" s="38">
        <f t="shared" si="37"/>
        <v>0</v>
      </c>
    </row>
    <row r="2452" spans="1:14" x14ac:dyDescent="0.25">
      <c r="A2452" s="1" t="s">
        <v>83</v>
      </c>
      <c r="B2452" s="43" t="s">
        <v>143</v>
      </c>
      <c r="C2452" s="62">
        <f>VLOOKUP(B2452,合并仓明细!$D$2:$F$74,3,0)</f>
        <v>131</v>
      </c>
      <c r="D2452" t="s">
        <v>413</v>
      </c>
      <c r="E2452" s="43" t="s">
        <v>291</v>
      </c>
      <c r="F2452" t="s">
        <v>67</v>
      </c>
      <c r="G2452" s="42">
        <v>27.62</v>
      </c>
      <c r="N2452" s="38">
        <f t="shared" si="37"/>
        <v>0</v>
      </c>
    </row>
    <row r="2453" spans="1:14" x14ac:dyDescent="0.25">
      <c r="A2453" s="1" t="s">
        <v>83</v>
      </c>
      <c r="B2453" s="43" t="s">
        <v>143</v>
      </c>
      <c r="C2453" s="62">
        <f>VLOOKUP(B2453,合并仓明细!$D$2:$F$74,3,0)</f>
        <v>131</v>
      </c>
      <c r="D2453" t="s">
        <v>413</v>
      </c>
      <c r="E2453" s="43" t="s">
        <v>291</v>
      </c>
      <c r="F2453" t="s">
        <v>66</v>
      </c>
      <c r="G2453" s="42">
        <v>9.8300000000000018</v>
      </c>
      <c r="L2453" s="37"/>
      <c r="M2453" s="39"/>
      <c r="N2453" s="38">
        <f t="shared" si="37"/>
        <v>0</v>
      </c>
    </row>
    <row r="2454" spans="1:14" x14ac:dyDescent="0.25">
      <c r="A2454" s="1" t="s">
        <v>83</v>
      </c>
      <c r="B2454" s="43" t="s">
        <v>143</v>
      </c>
      <c r="C2454" s="62">
        <f>VLOOKUP(B2454,合并仓明细!$D$2:$F$74,3,0)</f>
        <v>131</v>
      </c>
      <c r="D2454" t="s">
        <v>413</v>
      </c>
      <c r="E2454" s="43" t="s">
        <v>341</v>
      </c>
      <c r="F2454" t="s">
        <v>68</v>
      </c>
      <c r="G2454" s="42">
        <v>1855.54</v>
      </c>
      <c r="H2454" s="35">
        <v>6.5691699999999997</v>
      </c>
      <c r="I2454" s="46">
        <f>ROUNDUP(H2454/30,0)*VLOOKUP(D2454,'报价表-配送'!$B$9:$I$13,8,0)</f>
        <v>0</v>
      </c>
      <c r="L2454" s="37"/>
      <c r="M2454" s="39"/>
      <c r="N2454" s="38">
        <f t="shared" si="37"/>
        <v>0</v>
      </c>
    </row>
    <row r="2455" spans="1:14" x14ac:dyDescent="0.25">
      <c r="A2455" s="1" t="s">
        <v>83</v>
      </c>
      <c r="B2455" s="43" t="s">
        <v>143</v>
      </c>
      <c r="C2455" s="62">
        <f>VLOOKUP(B2455,合并仓明细!$D$2:$F$74,3,0)</f>
        <v>131</v>
      </c>
      <c r="D2455" t="s">
        <v>413</v>
      </c>
      <c r="E2455" s="43" t="s">
        <v>341</v>
      </c>
      <c r="F2455" t="s">
        <v>67</v>
      </c>
      <c r="G2455" s="42">
        <v>3471.9300000000003</v>
      </c>
      <c r="I2455" s="46"/>
      <c r="K2455" s="1"/>
      <c r="L2455" s="33"/>
      <c r="M2455" s="1"/>
      <c r="N2455" s="38">
        <f t="shared" si="37"/>
        <v>0</v>
      </c>
    </row>
    <row r="2456" spans="1:14" x14ac:dyDescent="0.25">
      <c r="A2456" s="1" t="s">
        <v>83</v>
      </c>
      <c r="B2456" s="43" t="s">
        <v>143</v>
      </c>
      <c r="C2456" s="62">
        <f>VLOOKUP(B2456,合并仓明细!$D$2:$F$74,3,0)</f>
        <v>131</v>
      </c>
      <c r="D2456" t="s">
        <v>413</v>
      </c>
      <c r="E2456" s="43" t="s">
        <v>341</v>
      </c>
      <c r="F2456" t="s">
        <v>66</v>
      </c>
      <c r="G2456" s="42">
        <v>1241.7</v>
      </c>
      <c r="N2456" s="38">
        <f t="shared" si="37"/>
        <v>0</v>
      </c>
    </row>
    <row r="2457" spans="1:14" x14ac:dyDescent="0.25">
      <c r="A2457" s="1" t="s">
        <v>83</v>
      </c>
      <c r="B2457" s="43" t="s">
        <v>143</v>
      </c>
      <c r="C2457" s="62">
        <f>VLOOKUP(B2457,合并仓明细!$D$2:$F$74,3,0)</f>
        <v>131</v>
      </c>
      <c r="D2457" t="s">
        <v>413</v>
      </c>
      <c r="E2457" s="43" t="s">
        <v>292</v>
      </c>
      <c r="F2457" t="s">
        <v>67</v>
      </c>
      <c r="G2457" s="42">
        <v>37.06</v>
      </c>
      <c r="H2457" s="35">
        <v>3.7060000000000003E-2</v>
      </c>
      <c r="I2457" s="38">
        <f>IF(H2457&gt;30,QUOTIENT(H2457,30)*VLOOKUP(D2457,'报价表-配送'!$B$9:$I$13,8,0),0)+IF(AND(MOD(H2457,30)&gt;18,MOD(H2457,30)&lt;=30),1,0)*VLOOKUP(D2457,'报价表-配送'!$B$9:$I$13,8,0)</f>
        <v>0</v>
      </c>
      <c r="J2457" s="38">
        <f>IF(AND(MOD(H2457,30)&gt;8,MOD(H2457,30)&lt;=18),1*VLOOKUP(D2457,'报价表-配送'!$B$9:$I$13,7,0),0)</f>
        <v>0</v>
      </c>
      <c r="K2457" s="38">
        <f>IF(AND(MOD(H2457,30)&lt;=8,MOD(H2457,30)&gt;0),1,0)*VLOOKUP(D2457,'报价表-配送'!$B$9:$I$13,6,0)</f>
        <v>0</v>
      </c>
      <c r="N2457" s="38">
        <f t="shared" si="37"/>
        <v>0</v>
      </c>
    </row>
    <row r="2458" spans="1:14" x14ac:dyDescent="0.25">
      <c r="A2458" s="1" t="s">
        <v>83</v>
      </c>
      <c r="B2458" s="43" t="s">
        <v>143</v>
      </c>
      <c r="C2458" s="62">
        <f>VLOOKUP(B2458,合并仓明细!$D$2:$F$74,3,0)</f>
        <v>131</v>
      </c>
      <c r="D2458" t="s">
        <v>413</v>
      </c>
      <c r="E2458" s="43" t="s">
        <v>359</v>
      </c>
      <c r="F2458" t="s">
        <v>68</v>
      </c>
      <c r="G2458" s="42">
        <v>110.49000000000001</v>
      </c>
      <c r="H2458" s="35">
        <v>0.45128000000000001</v>
      </c>
      <c r="I2458" s="46">
        <f>ROUNDUP(H2458/30,0)*VLOOKUP(D2458,'报价表-配送'!$B$9:$I$13,8,0)</f>
        <v>0</v>
      </c>
      <c r="J2458" s="52"/>
      <c r="K2458" s="52"/>
      <c r="L2458" s="37"/>
      <c r="M2458" s="37"/>
      <c r="N2458" s="38">
        <f t="shared" si="37"/>
        <v>0</v>
      </c>
    </row>
    <row r="2459" spans="1:14" x14ac:dyDescent="0.25">
      <c r="A2459" s="1" t="s">
        <v>83</v>
      </c>
      <c r="B2459" s="43" t="s">
        <v>143</v>
      </c>
      <c r="C2459" s="62">
        <f>VLOOKUP(B2459,合并仓明细!$D$2:$F$74,3,0)</f>
        <v>131</v>
      </c>
      <c r="D2459" t="s">
        <v>413</v>
      </c>
      <c r="E2459" s="43" t="s">
        <v>359</v>
      </c>
      <c r="F2459" t="s">
        <v>67</v>
      </c>
      <c r="G2459" s="42">
        <v>287.59000000000003</v>
      </c>
      <c r="N2459" s="38">
        <f t="shared" si="37"/>
        <v>0</v>
      </c>
    </row>
    <row r="2460" spans="1:14" x14ac:dyDescent="0.25">
      <c r="A2460" s="1" t="s">
        <v>83</v>
      </c>
      <c r="B2460" s="43" t="s">
        <v>143</v>
      </c>
      <c r="C2460" s="62">
        <f>VLOOKUP(B2460,合并仓明细!$D$2:$F$74,3,0)</f>
        <v>131</v>
      </c>
      <c r="D2460" t="s">
        <v>413</v>
      </c>
      <c r="E2460" s="43" t="s">
        <v>359</v>
      </c>
      <c r="F2460" t="s">
        <v>66</v>
      </c>
      <c r="G2460" s="42">
        <v>53.2</v>
      </c>
      <c r="L2460" s="37"/>
      <c r="M2460" s="39"/>
      <c r="N2460" s="38">
        <f t="shared" si="37"/>
        <v>0</v>
      </c>
    </row>
    <row r="2461" spans="1:14" x14ac:dyDescent="0.25">
      <c r="A2461" s="1" t="s">
        <v>83</v>
      </c>
      <c r="B2461" s="43" t="s">
        <v>143</v>
      </c>
      <c r="C2461" s="62">
        <f>VLOOKUP(B2461,合并仓明细!$D$2:$F$74,3,0)</f>
        <v>131</v>
      </c>
      <c r="D2461" t="s">
        <v>413</v>
      </c>
      <c r="E2461" s="43" t="s">
        <v>342</v>
      </c>
      <c r="F2461" t="s">
        <v>68</v>
      </c>
      <c r="G2461" s="42">
        <v>38.31</v>
      </c>
      <c r="H2461" s="35">
        <v>13.332239999999999</v>
      </c>
      <c r="I2461" s="46">
        <f>ROUNDUP(H2461/30,0)*VLOOKUP(D2461,'报价表-配送'!$B$9:$I$13,8,0)</f>
        <v>0</v>
      </c>
      <c r="K2461" s="1"/>
      <c r="L2461" s="33"/>
      <c r="M2461" s="1"/>
      <c r="N2461" s="38">
        <f t="shared" si="37"/>
        <v>0</v>
      </c>
    </row>
    <row r="2462" spans="1:14" x14ac:dyDescent="0.25">
      <c r="A2462" s="1" t="s">
        <v>83</v>
      </c>
      <c r="B2462" s="43" t="s">
        <v>143</v>
      </c>
      <c r="C2462" s="62">
        <f>VLOOKUP(B2462,合并仓明细!$D$2:$F$74,3,0)</f>
        <v>131</v>
      </c>
      <c r="D2462" t="s">
        <v>413</v>
      </c>
      <c r="E2462" s="43" t="s">
        <v>342</v>
      </c>
      <c r="F2462" t="s">
        <v>67</v>
      </c>
      <c r="G2462" s="42">
        <v>12000.63</v>
      </c>
      <c r="N2462" s="38">
        <f t="shared" si="37"/>
        <v>0</v>
      </c>
    </row>
    <row r="2463" spans="1:14" x14ac:dyDescent="0.25">
      <c r="A2463" s="1" t="s">
        <v>83</v>
      </c>
      <c r="B2463" s="43" t="s">
        <v>143</v>
      </c>
      <c r="C2463" s="62">
        <f>VLOOKUP(B2463,合并仓明细!$D$2:$F$74,3,0)</f>
        <v>131</v>
      </c>
      <c r="D2463" t="s">
        <v>413</v>
      </c>
      <c r="E2463" s="43" t="s">
        <v>342</v>
      </c>
      <c r="F2463" t="s">
        <v>66</v>
      </c>
      <c r="G2463" s="42">
        <v>1293.3000000000002</v>
      </c>
      <c r="I2463" s="52"/>
      <c r="J2463" s="52"/>
      <c r="K2463" s="52"/>
      <c r="L2463" s="37"/>
      <c r="M2463" s="37"/>
      <c r="N2463" s="38">
        <f t="shared" si="37"/>
        <v>0</v>
      </c>
    </row>
    <row r="2464" spans="1:14" x14ac:dyDescent="0.25">
      <c r="A2464" s="1" t="s">
        <v>83</v>
      </c>
      <c r="B2464" s="43" t="s">
        <v>143</v>
      </c>
      <c r="C2464" s="62">
        <f>VLOOKUP(B2464,合并仓明细!$D$2:$F$74,3,0)</f>
        <v>131</v>
      </c>
      <c r="D2464" t="s">
        <v>413</v>
      </c>
      <c r="E2464" s="43" t="s">
        <v>370</v>
      </c>
      <c r="F2464" t="s">
        <v>68</v>
      </c>
      <c r="G2464" s="42">
        <v>45</v>
      </c>
      <c r="H2464" s="35">
        <v>0.872</v>
      </c>
      <c r="I2464" s="46">
        <f>ROUNDUP(H2464/30,0)*VLOOKUP(D2464,'报价表-配送'!$B$9:$I$13,8,0)</f>
        <v>0</v>
      </c>
      <c r="K2464" s="1"/>
      <c r="L2464" s="33"/>
      <c r="M2464" s="1"/>
      <c r="N2464" s="38">
        <f t="shared" si="37"/>
        <v>0</v>
      </c>
    </row>
    <row r="2465" spans="1:14" x14ac:dyDescent="0.25">
      <c r="A2465" s="1" t="s">
        <v>83</v>
      </c>
      <c r="B2465" s="43" t="s">
        <v>143</v>
      </c>
      <c r="C2465" s="62">
        <f>VLOOKUP(B2465,合并仓明细!$D$2:$F$74,3,0)</f>
        <v>131</v>
      </c>
      <c r="D2465" t="s">
        <v>413</v>
      </c>
      <c r="E2465" s="43" t="s">
        <v>370</v>
      </c>
      <c r="F2465" t="s">
        <v>67</v>
      </c>
      <c r="G2465" s="42">
        <v>346.2</v>
      </c>
      <c r="N2465" s="38">
        <f t="shared" si="37"/>
        <v>0</v>
      </c>
    </row>
    <row r="2466" spans="1:14" x14ac:dyDescent="0.25">
      <c r="A2466" s="1" t="s">
        <v>83</v>
      </c>
      <c r="B2466" s="43" t="s">
        <v>143</v>
      </c>
      <c r="C2466" s="62">
        <f>VLOOKUP(B2466,合并仓明细!$D$2:$F$74,3,0)</f>
        <v>131</v>
      </c>
      <c r="D2466" t="s">
        <v>413</v>
      </c>
      <c r="E2466" s="43" t="s">
        <v>370</v>
      </c>
      <c r="F2466" t="s">
        <v>66</v>
      </c>
      <c r="G2466" s="42">
        <v>480.79999999999995</v>
      </c>
      <c r="N2466" s="38">
        <f t="shared" si="37"/>
        <v>0</v>
      </c>
    </row>
    <row r="2467" spans="1:14" x14ac:dyDescent="0.25">
      <c r="A2467" s="1" t="s">
        <v>83</v>
      </c>
      <c r="B2467" s="43" t="s">
        <v>143</v>
      </c>
      <c r="C2467" s="62">
        <f>VLOOKUP(B2467,合并仓明细!$D$2:$F$74,3,0)</f>
        <v>131</v>
      </c>
      <c r="D2467" t="s">
        <v>413</v>
      </c>
      <c r="E2467" s="43" t="s">
        <v>295</v>
      </c>
      <c r="F2467" t="s">
        <v>67</v>
      </c>
      <c r="G2467" s="42">
        <v>33.33</v>
      </c>
      <c r="H2467" s="35">
        <v>0.1391</v>
      </c>
      <c r="I2467" s="38">
        <f>IF(H2467&gt;30,QUOTIENT(H2467,30)*VLOOKUP(D2467,'报价表-配送'!$B$9:$I$13,8,0),0)+IF(AND(MOD(H2467,30)&gt;18,MOD(H2467,30)&lt;=30),1,0)*VLOOKUP(D2467,'报价表-配送'!$B$9:$I$13,8,0)</f>
        <v>0</v>
      </c>
      <c r="J2467" s="38">
        <f>IF(AND(MOD(H2467,30)&gt;8,MOD(H2467,30)&lt;=18),1*VLOOKUP(D2467,'报价表-配送'!$B$9:$I$13,7,0),0)</f>
        <v>0</v>
      </c>
      <c r="K2467" s="38">
        <f>IF(AND(MOD(H2467,30)&lt;=8,MOD(H2467,30)&gt;0),1,0)*VLOOKUP(D2467,'报价表-配送'!$B$9:$I$13,6,0)</f>
        <v>0</v>
      </c>
      <c r="L2467" s="37"/>
      <c r="M2467" s="37"/>
      <c r="N2467" s="38">
        <f t="shared" si="37"/>
        <v>0</v>
      </c>
    </row>
    <row r="2468" spans="1:14" x14ac:dyDescent="0.25">
      <c r="A2468" s="1" t="s">
        <v>83</v>
      </c>
      <c r="B2468" s="43" t="s">
        <v>143</v>
      </c>
      <c r="C2468" s="62">
        <f>VLOOKUP(B2468,合并仓明细!$D$2:$F$74,3,0)</f>
        <v>131</v>
      </c>
      <c r="D2468" t="s">
        <v>413</v>
      </c>
      <c r="E2468" s="43" t="s">
        <v>295</v>
      </c>
      <c r="F2468" t="s">
        <v>66</v>
      </c>
      <c r="G2468" s="42">
        <v>105.77</v>
      </c>
      <c r="N2468" s="38">
        <f t="shared" si="37"/>
        <v>0</v>
      </c>
    </row>
    <row r="2469" spans="1:14" x14ac:dyDescent="0.25">
      <c r="A2469" s="1" t="s">
        <v>83</v>
      </c>
      <c r="B2469" s="43" t="s">
        <v>143</v>
      </c>
      <c r="C2469" s="62">
        <f>VLOOKUP(B2469,合并仓明细!$D$2:$F$74,3,0)</f>
        <v>131</v>
      </c>
      <c r="D2469" t="s">
        <v>413</v>
      </c>
      <c r="E2469" s="43" t="s">
        <v>366</v>
      </c>
      <c r="F2469" t="s">
        <v>66</v>
      </c>
      <c r="G2469" s="42">
        <v>97.919999999999987</v>
      </c>
      <c r="H2469" s="35">
        <v>9.7919999999999993E-2</v>
      </c>
      <c r="I2469" s="46"/>
      <c r="K2469" s="1"/>
      <c r="L2469" s="37">
        <f>IF(H2469&gt;30,QUOTIENT(H2469,30)*VLOOKUP(D2469,'报价表-配送'!$B$9:$I$13,8,0),0)+IF(AND(MOD(H2469,30)&gt;18,MOD(H2469,30)&lt;=30),1,0)*VLOOKUP(D2469,'报价表-配送'!$B$9:$I$13,8,0)+IF(AND(MOD(H2469,30)&gt;8,MOD(H2469,30)&lt;=18),1*VLOOKUP(D2469,'报价表-配送'!$B$9:$I$13,7,0),0)+IF(AND(MOD(H2469,30)&lt;=8,MOD(H2469,30)&gt;2.5),1,0)*VLOOKUP(D2469,'报价表-配送'!$B$9:$I$13,6,0)+IF(AND(MOD(H2469,30)&lt;=2.5,MOD(H2469,30)&gt;=1.5),1,0)*VLOOKUP(D2469,'报价表-配送'!$B$9:$I$13,5,0)</f>
        <v>0</v>
      </c>
      <c r="M2469" s="39">
        <f>IF(AND(MOD(H2469,30)&lt;1.5,MOD(H2469,30)&gt;=0.5),H2469,0)*VLOOKUP(D2469,'报价表-配送'!$B$9:$I$13,4,0)*1000+IF(AND(MOD(H2469,30)&lt;0.5,MOD(H2469,30)&gt;=0.02),H2469,0)*VLOOKUP(D2469,'报价表-配送'!$B$9:$I$13,3,0)*1000+IF(AND(MOD(H2469,30)&lt;0.02),H2469,0)*VLOOKUP(D2469,'报价表-配送'!$B$9:$I$13,2,0)*1000</f>
        <v>0</v>
      </c>
      <c r="N2469" s="38">
        <f t="shared" si="37"/>
        <v>0</v>
      </c>
    </row>
    <row r="2470" spans="1:14" x14ac:dyDescent="0.25">
      <c r="A2470" s="1" t="s">
        <v>83</v>
      </c>
      <c r="B2470" s="43" t="s">
        <v>143</v>
      </c>
      <c r="C2470" s="62">
        <f>VLOOKUP(B2470,合并仓明细!$D$2:$F$74,3,0)</f>
        <v>131</v>
      </c>
      <c r="D2470" t="s">
        <v>413</v>
      </c>
      <c r="E2470" s="43" t="s">
        <v>353</v>
      </c>
      <c r="F2470" t="s">
        <v>68</v>
      </c>
      <c r="G2470" s="42">
        <v>51.09</v>
      </c>
      <c r="H2470" s="35">
        <v>0.31248000000000004</v>
      </c>
      <c r="I2470" s="46">
        <f>ROUNDUP(H2470/30,0)*VLOOKUP(D2470,'报价表-配送'!$B$9:$I$13,8,0)</f>
        <v>0</v>
      </c>
      <c r="N2470" s="38">
        <f t="shared" si="37"/>
        <v>0</v>
      </c>
    </row>
    <row r="2471" spans="1:14" x14ac:dyDescent="0.25">
      <c r="A2471" s="1" t="s">
        <v>83</v>
      </c>
      <c r="B2471" s="43" t="s">
        <v>143</v>
      </c>
      <c r="C2471" s="62">
        <f>VLOOKUP(B2471,合并仓明细!$D$2:$F$74,3,0)</f>
        <v>131</v>
      </c>
      <c r="D2471" t="s">
        <v>413</v>
      </c>
      <c r="E2471" s="43" t="s">
        <v>353</v>
      </c>
      <c r="F2471" t="s">
        <v>67</v>
      </c>
      <c r="G2471" s="42">
        <v>149.30000000000001</v>
      </c>
      <c r="N2471" s="38">
        <f t="shared" si="37"/>
        <v>0</v>
      </c>
    </row>
    <row r="2472" spans="1:14" x14ac:dyDescent="0.25">
      <c r="A2472" s="1" t="s">
        <v>83</v>
      </c>
      <c r="B2472" s="43" t="s">
        <v>143</v>
      </c>
      <c r="C2472" s="62">
        <f>VLOOKUP(B2472,合并仓明细!$D$2:$F$74,3,0)</f>
        <v>131</v>
      </c>
      <c r="D2472" t="s">
        <v>413</v>
      </c>
      <c r="E2472" s="43" t="s">
        <v>353</v>
      </c>
      <c r="F2472" t="s">
        <v>66</v>
      </c>
      <c r="G2472" s="42">
        <v>112.09000000000003</v>
      </c>
      <c r="I2472" s="46"/>
      <c r="K2472" s="1"/>
      <c r="L2472" s="33"/>
      <c r="M2472" s="1"/>
      <c r="N2472" s="38">
        <f t="shared" si="37"/>
        <v>0</v>
      </c>
    </row>
    <row r="2473" spans="1:14" x14ac:dyDescent="0.25">
      <c r="A2473" s="1" t="s">
        <v>83</v>
      </c>
      <c r="B2473" s="43" t="s">
        <v>143</v>
      </c>
      <c r="C2473" s="62">
        <f>VLOOKUP(B2473,合并仓明细!$D$2:$F$74,3,0)</f>
        <v>131</v>
      </c>
      <c r="D2473" t="s">
        <v>413</v>
      </c>
      <c r="E2473" s="43" t="s">
        <v>249</v>
      </c>
      <c r="F2473" t="s">
        <v>66</v>
      </c>
      <c r="G2473" s="42">
        <v>343.22999999999996</v>
      </c>
      <c r="H2473" s="35">
        <v>0.34322999999999998</v>
      </c>
      <c r="L2473" s="37">
        <f>IF(H2473&gt;30,QUOTIENT(H2473,30)*VLOOKUP(D2473,'报价表-配送'!$B$9:$I$13,8,0),0)+IF(AND(MOD(H2473,30)&gt;18,MOD(H2473,30)&lt;=30),1,0)*VLOOKUP(D2473,'报价表-配送'!$B$9:$I$13,8,0)+IF(AND(MOD(H2473,30)&gt;8,MOD(H2473,30)&lt;=18),1*VLOOKUP(D2473,'报价表-配送'!$B$9:$I$13,7,0),0)+IF(AND(MOD(H2473,30)&lt;=8,MOD(H2473,30)&gt;2.5),1,0)*VLOOKUP(D2473,'报价表-配送'!$B$9:$I$13,6,0)+IF(AND(MOD(H2473,30)&lt;=2.5,MOD(H2473,30)&gt;=1.5),1,0)*VLOOKUP(D2473,'报价表-配送'!$B$9:$I$13,5,0)</f>
        <v>0</v>
      </c>
      <c r="M2473" s="39">
        <f>IF(AND(MOD(H2473,30)&lt;1.5,MOD(H2473,30)&gt;=0.5),H2473,0)*VLOOKUP(D2473,'报价表-配送'!$B$9:$I$13,4,0)*1000+IF(AND(MOD(H2473,30)&lt;0.5,MOD(H2473,30)&gt;=0.02),H2473,0)*VLOOKUP(D2473,'报价表-配送'!$B$9:$I$13,3,0)*1000+IF(AND(MOD(H2473,30)&lt;0.02),H2473,0)*VLOOKUP(D2473,'报价表-配送'!$B$9:$I$13,2,0)*1000</f>
        <v>0</v>
      </c>
      <c r="N2473" s="38">
        <f t="shared" si="37"/>
        <v>0</v>
      </c>
    </row>
    <row r="2474" spans="1:14" x14ac:dyDescent="0.25">
      <c r="A2474" s="1" t="s">
        <v>83</v>
      </c>
      <c r="B2474" s="43" t="s">
        <v>143</v>
      </c>
      <c r="C2474" s="62">
        <f>VLOOKUP(B2474,合并仓明细!$D$2:$F$74,3,0)</f>
        <v>131</v>
      </c>
      <c r="D2474" t="s">
        <v>413</v>
      </c>
      <c r="E2474" s="43" t="s">
        <v>297</v>
      </c>
      <c r="F2474" t="s">
        <v>68</v>
      </c>
      <c r="G2474" s="42">
        <v>194.84000000000003</v>
      </c>
      <c r="H2474" s="35">
        <v>0.61372000000000004</v>
      </c>
      <c r="I2474" s="46">
        <f>ROUNDUP(H2474/30,0)*VLOOKUP(D2474,'报价表-配送'!$B$9:$I$13,8,0)</f>
        <v>0</v>
      </c>
      <c r="N2474" s="38">
        <f t="shared" si="37"/>
        <v>0</v>
      </c>
    </row>
    <row r="2475" spans="1:14" x14ac:dyDescent="0.25">
      <c r="A2475" s="1" t="s">
        <v>83</v>
      </c>
      <c r="B2475" s="43" t="s">
        <v>143</v>
      </c>
      <c r="C2475" s="62">
        <f>VLOOKUP(B2475,合并仓明细!$D$2:$F$74,3,0)</f>
        <v>131</v>
      </c>
      <c r="D2475" t="s">
        <v>413</v>
      </c>
      <c r="E2475" s="43" t="s">
        <v>297</v>
      </c>
      <c r="F2475" t="s">
        <v>66</v>
      </c>
      <c r="G2475" s="42">
        <v>418.88</v>
      </c>
      <c r="I2475" s="46"/>
      <c r="K2475" s="1"/>
      <c r="L2475" s="33"/>
      <c r="M2475" s="1"/>
      <c r="N2475" s="38">
        <f t="shared" si="37"/>
        <v>0</v>
      </c>
    </row>
    <row r="2476" spans="1:14" x14ac:dyDescent="0.25">
      <c r="A2476" s="1" t="s">
        <v>83</v>
      </c>
      <c r="B2476" s="43" t="s">
        <v>143</v>
      </c>
      <c r="C2476" s="62">
        <f>VLOOKUP(B2476,合并仓明细!$D$2:$F$74,3,0)</f>
        <v>131</v>
      </c>
      <c r="D2476" t="s">
        <v>413</v>
      </c>
      <c r="E2476" s="43" t="s">
        <v>326</v>
      </c>
      <c r="F2476" t="s">
        <v>68</v>
      </c>
      <c r="G2476" s="42">
        <v>740.56</v>
      </c>
      <c r="H2476" s="35">
        <v>1.1808899999999998</v>
      </c>
      <c r="I2476" s="46">
        <f>ROUNDUP(H2476/30,0)*VLOOKUP(D2476,'报价表-配送'!$B$9:$I$13,8,0)</f>
        <v>0</v>
      </c>
      <c r="N2476" s="38">
        <f t="shared" ref="N2476:N2539" si="38">SUM(I2476:M2476)</f>
        <v>0</v>
      </c>
    </row>
    <row r="2477" spans="1:14" x14ac:dyDescent="0.25">
      <c r="A2477" s="1" t="s">
        <v>83</v>
      </c>
      <c r="B2477" s="43" t="s">
        <v>143</v>
      </c>
      <c r="C2477" s="62">
        <f>VLOOKUP(B2477,合并仓明细!$D$2:$F$74,3,0)</f>
        <v>131</v>
      </c>
      <c r="D2477" t="s">
        <v>413</v>
      </c>
      <c r="E2477" s="43" t="s">
        <v>326</v>
      </c>
      <c r="F2477" t="s">
        <v>67</v>
      </c>
      <c r="G2477" s="42">
        <v>151.51000000000002</v>
      </c>
      <c r="N2477" s="38">
        <f t="shared" si="38"/>
        <v>0</v>
      </c>
    </row>
    <row r="2478" spans="1:14" x14ac:dyDescent="0.25">
      <c r="A2478" s="1" t="s">
        <v>83</v>
      </c>
      <c r="B2478" s="43" t="s">
        <v>143</v>
      </c>
      <c r="C2478" s="62">
        <f>VLOOKUP(B2478,合并仓明细!$D$2:$F$74,3,0)</f>
        <v>131</v>
      </c>
      <c r="D2478" t="s">
        <v>413</v>
      </c>
      <c r="E2478" s="43" t="s">
        <v>326</v>
      </c>
      <c r="F2478" t="s">
        <v>66</v>
      </c>
      <c r="G2478" s="42">
        <v>288.81999999999994</v>
      </c>
      <c r="I2478" s="46"/>
      <c r="K2478" s="1"/>
      <c r="L2478" s="33"/>
      <c r="M2478" s="1"/>
      <c r="N2478" s="38">
        <f t="shared" si="38"/>
        <v>0</v>
      </c>
    </row>
    <row r="2479" spans="1:14" x14ac:dyDescent="0.25">
      <c r="A2479" s="1" t="s">
        <v>83</v>
      </c>
      <c r="B2479" s="43" t="s">
        <v>143</v>
      </c>
      <c r="C2479" s="62">
        <f>VLOOKUP(B2479,合并仓明细!$D$2:$F$74,3,0)</f>
        <v>131</v>
      </c>
      <c r="D2479" t="s">
        <v>413</v>
      </c>
      <c r="E2479" s="43" t="s">
        <v>298</v>
      </c>
      <c r="F2479" t="s">
        <v>67</v>
      </c>
      <c r="G2479" s="42">
        <v>4.41</v>
      </c>
      <c r="H2479" s="35">
        <v>8.2300000000000012E-3</v>
      </c>
      <c r="I2479" s="38">
        <f>IF(H2479&gt;30,QUOTIENT(H2479,30)*VLOOKUP(D2479,'报价表-配送'!$B$9:$I$13,8,0),0)+IF(AND(MOD(H2479,30)&gt;18,MOD(H2479,30)&lt;=30),1,0)*VLOOKUP(D2479,'报价表-配送'!$B$9:$I$13,8,0)</f>
        <v>0</v>
      </c>
      <c r="J2479" s="38">
        <f>IF(AND(MOD(H2479,30)&gt;8,MOD(H2479,30)&lt;=18),1*VLOOKUP(D2479,'报价表-配送'!$B$9:$I$13,7,0),0)</f>
        <v>0</v>
      </c>
      <c r="K2479" s="38">
        <f>IF(AND(MOD(H2479,30)&lt;=8,MOD(H2479,30)&gt;0),1,0)*VLOOKUP(D2479,'报价表-配送'!$B$9:$I$13,6,0)</f>
        <v>0</v>
      </c>
      <c r="N2479" s="38">
        <f t="shared" si="38"/>
        <v>0</v>
      </c>
    </row>
    <row r="2480" spans="1:14" x14ac:dyDescent="0.25">
      <c r="A2480" s="1" t="s">
        <v>83</v>
      </c>
      <c r="B2480" s="43" t="s">
        <v>143</v>
      </c>
      <c r="C2480" s="62">
        <f>VLOOKUP(B2480,合并仓明细!$D$2:$F$74,3,0)</f>
        <v>131</v>
      </c>
      <c r="D2480" t="s">
        <v>413</v>
      </c>
      <c r="E2480" s="43" t="s">
        <v>298</v>
      </c>
      <c r="F2480" t="s">
        <v>66</v>
      </c>
      <c r="G2480" s="42">
        <v>3.82</v>
      </c>
      <c r="N2480" s="38">
        <f t="shared" si="38"/>
        <v>0</v>
      </c>
    </row>
    <row r="2481" spans="1:14" x14ac:dyDescent="0.25">
      <c r="A2481" s="1" t="s">
        <v>83</v>
      </c>
      <c r="B2481" s="43" t="s">
        <v>143</v>
      </c>
      <c r="C2481" s="62">
        <f>VLOOKUP(B2481,合并仓明细!$D$2:$F$74,3,0)</f>
        <v>131</v>
      </c>
      <c r="D2481" t="s">
        <v>413</v>
      </c>
      <c r="E2481" s="43" t="s">
        <v>250</v>
      </c>
      <c r="F2481" t="s">
        <v>68</v>
      </c>
      <c r="G2481" s="42">
        <v>1778.83</v>
      </c>
      <c r="H2481" s="35">
        <v>98.604580000000013</v>
      </c>
      <c r="I2481" s="46">
        <f>ROUNDUP(H2481/30,0)*VLOOKUP(D2481,'报价表-配送'!$B$9:$I$13,8,0)</f>
        <v>0</v>
      </c>
      <c r="K2481" s="1"/>
      <c r="L2481" s="33"/>
      <c r="M2481" s="1"/>
      <c r="N2481" s="38">
        <f t="shared" si="38"/>
        <v>0</v>
      </c>
    </row>
    <row r="2482" spans="1:14" x14ac:dyDescent="0.25">
      <c r="A2482" s="1" t="s">
        <v>83</v>
      </c>
      <c r="B2482" s="43" t="s">
        <v>143</v>
      </c>
      <c r="C2482" s="62">
        <f>VLOOKUP(B2482,合并仓明细!$D$2:$F$74,3,0)</f>
        <v>131</v>
      </c>
      <c r="D2482" t="s">
        <v>413</v>
      </c>
      <c r="E2482" s="43" t="s">
        <v>250</v>
      </c>
      <c r="F2482" t="s">
        <v>67</v>
      </c>
      <c r="G2482" s="42">
        <v>80676.950000000012</v>
      </c>
      <c r="N2482" s="38">
        <f t="shared" si="38"/>
        <v>0</v>
      </c>
    </row>
    <row r="2483" spans="1:14" x14ac:dyDescent="0.25">
      <c r="A2483" s="1" t="s">
        <v>83</v>
      </c>
      <c r="B2483" s="43" t="s">
        <v>143</v>
      </c>
      <c r="C2483" s="62">
        <f>VLOOKUP(B2483,合并仓明细!$D$2:$F$74,3,0)</f>
        <v>131</v>
      </c>
      <c r="D2483" t="s">
        <v>413</v>
      </c>
      <c r="E2483" s="43" t="s">
        <v>250</v>
      </c>
      <c r="F2483" t="s">
        <v>66</v>
      </c>
      <c r="G2483" s="42">
        <v>16148.8</v>
      </c>
      <c r="N2483" s="38">
        <f t="shared" si="38"/>
        <v>0</v>
      </c>
    </row>
    <row r="2484" spans="1:14" x14ac:dyDescent="0.25">
      <c r="A2484" s="1" t="s">
        <v>83</v>
      </c>
      <c r="B2484" s="43" t="s">
        <v>143</v>
      </c>
      <c r="C2484" s="62">
        <f>VLOOKUP(B2484,合并仓明细!$D$2:$F$74,3,0)</f>
        <v>131</v>
      </c>
      <c r="D2484" t="s">
        <v>413</v>
      </c>
      <c r="E2484" s="43" t="s">
        <v>318</v>
      </c>
      <c r="F2484" t="s">
        <v>68</v>
      </c>
      <c r="G2484" s="42">
        <v>378.14</v>
      </c>
      <c r="H2484" s="35">
        <v>1.9647799999999997</v>
      </c>
      <c r="I2484" s="46">
        <f>ROUNDUP(H2484/30,0)*VLOOKUP(D2484,'报价表-配送'!$B$9:$I$13,8,0)</f>
        <v>0</v>
      </c>
      <c r="K2484" s="1"/>
      <c r="L2484" s="33"/>
      <c r="M2484" s="1"/>
      <c r="N2484" s="38">
        <f t="shared" si="38"/>
        <v>0</v>
      </c>
    </row>
    <row r="2485" spans="1:14" x14ac:dyDescent="0.25">
      <c r="A2485" s="1" t="s">
        <v>83</v>
      </c>
      <c r="B2485" s="43" t="s">
        <v>143</v>
      </c>
      <c r="C2485" s="62">
        <f>VLOOKUP(B2485,合并仓明细!$D$2:$F$74,3,0)</f>
        <v>131</v>
      </c>
      <c r="D2485" t="s">
        <v>413</v>
      </c>
      <c r="E2485" s="43" t="s">
        <v>318</v>
      </c>
      <c r="F2485" t="s">
        <v>67</v>
      </c>
      <c r="G2485" s="42">
        <v>728.88</v>
      </c>
      <c r="N2485" s="38">
        <f t="shared" si="38"/>
        <v>0</v>
      </c>
    </row>
    <row r="2486" spans="1:14" x14ac:dyDescent="0.25">
      <c r="A2486" s="1" t="s">
        <v>83</v>
      </c>
      <c r="B2486" s="43" t="s">
        <v>143</v>
      </c>
      <c r="C2486" s="62">
        <f>VLOOKUP(B2486,合并仓明细!$D$2:$F$74,3,0)</f>
        <v>131</v>
      </c>
      <c r="D2486" t="s">
        <v>413</v>
      </c>
      <c r="E2486" s="43" t="s">
        <v>318</v>
      </c>
      <c r="F2486" t="s">
        <v>66</v>
      </c>
      <c r="G2486" s="42">
        <v>857.75999999999976</v>
      </c>
      <c r="N2486" s="38">
        <f t="shared" si="38"/>
        <v>0</v>
      </c>
    </row>
    <row r="2487" spans="1:14" x14ac:dyDescent="0.25">
      <c r="A2487" s="1" t="s">
        <v>83</v>
      </c>
      <c r="B2487" s="43" t="s">
        <v>143</v>
      </c>
      <c r="C2487" s="62">
        <f>VLOOKUP(B2487,合并仓明细!$D$2:$F$74,3,0)</f>
        <v>131</v>
      </c>
      <c r="D2487" t="s">
        <v>413</v>
      </c>
      <c r="E2487" s="43" t="s">
        <v>299</v>
      </c>
      <c r="F2487" t="s">
        <v>66</v>
      </c>
      <c r="G2487" s="42">
        <v>82.95</v>
      </c>
      <c r="H2487" s="35">
        <v>8.2949999999999996E-2</v>
      </c>
      <c r="I2487" s="46"/>
      <c r="K2487" s="1"/>
      <c r="L2487" s="37">
        <f>IF(H2487&gt;30,QUOTIENT(H2487,30)*VLOOKUP(D2487,'报价表-配送'!$B$9:$I$13,8,0),0)+IF(AND(MOD(H2487,30)&gt;18,MOD(H2487,30)&lt;=30),1,0)*VLOOKUP(D2487,'报价表-配送'!$B$9:$I$13,8,0)+IF(AND(MOD(H2487,30)&gt;8,MOD(H2487,30)&lt;=18),1*VLOOKUP(D2487,'报价表-配送'!$B$9:$I$13,7,0),0)+IF(AND(MOD(H2487,30)&lt;=8,MOD(H2487,30)&gt;2.5),1,0)*VLOOKUP(D2487,'报价表-配送'!$B$9:$I$13,6,0)+IF(AND(MOD(H2487,30)&lt;=2.5,MOD(H2487,30)&gt;=1.5),1,0)*VLOOKUP(D2487,'报价表-配送'!$B$9:$I$13,5,0)</f>
        <v>0</v>
      </c>
      <c r="M2487" s="39">
        <f>IF(AND(MOD(H2487,30)&lt;1.5,MOD(H2487,30)&gt;=0.5),H2487,0)*VLOOKUP(D2487,'报价表-配送'!$B$9:$I$13,4,0)*1000+IF(AND(MOD(H2487,30)&lt;0.5,MOD(H2487,30)&gt;=0.02),H2487,0)*VLOOKUP(D2487,'报价表-配送'!$B$9:$I$13,3,0)*1000+IF(AND(MOD(H2487,30)&lt;0.02),H2487,0)*VLOOKUP(D2487,'报价表-配送'!$B$9:$I$13,2,0)*1000</f>
        <v>0</v>
      </c>
      <c r="N2487" s="38">
        <f t="shared" si="38"/>
        <v>0</v>
      </c>
    </row>
    <row r="2488" spans="1:14" x14ac:dyDescent="0.25">
      <c r="A2488" s="1" t="s">
        <v>83</v>
      </c>
      <c r="B2488" s="43" t="s">
        <v>143</v>
      </c>
      <c r="C2488" s="62">
        <f>VLOOKUP(B2488,合并仓明细!$D$2:$F$74,3,0)</f>
        <v>131</v>
      </c>
      <c r="D2488" t="s">
        <v>413</v>
      </c>
      <c r="E2488" s="43" t="s">
        <v>327</v>
      </c>
      <c r="F2488" t="s">
        <v>68</v>
      </c>
      <c r="G2488" s="42">
        <v>38.31</v>
      </c>
      <c r="H2488" s="35">
        <v>0.17388000000000001</v>
      </c>
      <c r="I2488" s="46">
        <f>ROUNDUP(H2488/30,0)*VLOOKUP(D2488,'报价表-配送'!$B$9:$I$13,8,0)</f>
        <v>0</v>
      </c>
      <c r="N2488" s="38">
        <f t="shared" si="38"/>
        <v>0</v>
      </c>
    </row>
    <row r="2489" spans="1:14" x14ac:dyDescent="0.25">
      <c r="A2489" s="1" t="s">
        <v>83</v>
      </c>
      <c r="B2489" s="43" t="s">
        <v>143</v>
      </c>
      <c r="C2489" s="62">
        <f>VLOOKUP(B2489,合并仓明细!$D$2:$F$74,3,0)</f>
        <v>131</v>
      </c>
      <c r="D2489" t="s">
        <v>413</v>
      </c>
      <c r="E2489" s="43" t="s">
        <v>327</v>
      </c>
      <c r="F2489" t="s">
        <v>67</v>
      </c>
      <c r="G2489" s="42">
        <v>47.599999999999994</v>
      </c>
      <c r="N2489" s="38">
        <f t="shared" si="38"/>
        <v>0</v>
      </c>
    </row>
    <row r="2490" spans="1:14" x14ac:dyDescent="0.25">
      <c r="A2490" s="1" t="s">
        <v>83</v>
      </c>
      <c r="B2490" s="43" t="s">
        <v>143</v>
      </c>
      <c r="C2490" s="62">
        <f>VLOOKUP(B2490,合并仓明细!$D$2:$F$74,3,0)</f>
        <v>131</v>
      </c>
      <c r="D2490" t="s">
        <v>413</v>
      </c>
      <c r="E2490" s="43" t="s">
        <v>327</v>
      </c>
      <c r="F2490" t="s">
        <v>66</v>
      </c>
      <c r="G2490" s="42">
        <v>87.969999999999985</v>
      </c>
      <c r="I2490" s="52"/>
      <c r="J2490" s="52"/>
      <c r="K2490" s="52"/>
      <c r="L2490" s="37"/>
      <c r="M2490" s="37"/>
      <c r="N2490" s="38">
        <f t="shared" si="38"/>
        <v>0</v>
      </c>
    </row>
    <row r="2491" spans="1:14" x14ac:dyDescent="0.25">
      <c r="A2491" s="1" t="s">
        <v>83</v>
      </c>
      <c r="B2491" s="43" t="s">
        <v>143</v>
      </c>
      <c r="C2491" s="62">
        <f>VLOOKUP(B2491,合并仓明细!$D$2:$F$74,3,0)</f>
        <v>131</v>
      </c>
      <c r="D2491" t="s">
        <v>413</v>
      </c>
      <c r="E2491" s="43" t="s">
        <v>343</v>
      </c>
      <c r="F2491" t="s">
        <v>66</v>
      </c>
      <c r="G2491" s="42">
        <v>12.14</v>
      </c>
      <c r="H2491" s="35">
        <v>1.214E-2</v>
      </c>
      <c r="L2491" s="37">
        <f>IF(H2491&gt;30,QUOTIENT(H2491,30)*VLOOKUP(D2491,'报价表-配送'!$B$9:$I$13,8,0),0)+IF(AND(MOD(H2491,30)&gt;18,MOD(H2491,30)&lt;=30),1,0)*VLOOKUP(D2491,'报价表-配送'!$B$9:$I$13,8,0)+IF(AND(MOD(H2491,30)&gt;8,MOD(H2491,30)&lt;=18),1*VLOOKUP(D2491,'报价表-配送'!$B$9:$I$13,7,0),0)+IF(AND(MOD(H2491,30)&lt;=8,MOD(H2491,30)&gt;2.5),1,0)*VLOOKUP(D2491,'报价表-配送'!$B$9:$I$13,6,0)+IF(AND(MOD(H2491,30)&lt;=2.5,MOD(H2491,30)&gt;=1.5),1,0)*VLOOKUP(D2491,'报价表-配送'!$B$9:$I$13,5,0)</f>
        <v>0</v>
      </c>
      <c r="M2491" s="39">
        <f>IF(AND(MOD(H2491,30)&lt;1.5,MOD(H2491,30)&gt;=0.5),H2491,0)*VLOOKUP(D2491,'报价表-配送'!$B$9:$I$13,4,0)*1000+IF(AND(MOD(H2491,30)&lt;0.5,MOD(H2491,30)&gt;=0.02),H2491,0)*VLOOKUP(D2491,'报价表-配送'!$B$9:$I$13,3,0)*1000+IF(AND(MOD(H2491,30)&lt;0.02),H2491,0)*VLOOKUP(D2491,'报价表-配送'!$B$9:$I$13,2,0)*1000</f>
        <v>0</v>
      </c>
      <c r="N2491" s="38">
        <f t="shared" si="38"/>
        <v>0</v>
      </c>
    </row>
    <row r="2492" spans="1:14" x14ac:dyDescent="0.25">
      <c r="A2492" s="1" t="s">
        <v>83</v>
      </c>
      <c r="B2492" s="43" t="s">
        <v>143</v>
      </c>
      <c r="C2492" s="62">
        <f>VLOOKUP(B2492,合并仓明细!$D$2:$F$74,3,0)</f>
        <v>131</v>
      </c>
      <c r="D2492" t="s">
        <v>413</v>
      </c>
      <c r="E2492" s="43" t="s">
        <v>360</v>
      </c>
      <c r="F2492" t="s">
        <v>68</v>
      </c>
      <c r="G2492" s="42">
        <v>1410.7800000000002</v>
      </c>
      <c r="H2492" s="35">
        <v>1.4557900000000001</v>
      </c>
      <c r="I2492" s="46">
        <f>ROUNDUP(H2492/30,0)*VLOOKUP(D2492,'报价表-配送'!$B$9:$I$13,8,0)</f>
        <v>0</v>
      </c>
      <c r="K2492" s="1"/>
      <c r="L2492" s="33"/>
      <c r="M2492" s="1"/>
      <c r="N2492" s="38">
        <f t="shared" si="38"/>
        <v>0</v>
      </c>
    </row>
    <row r="2493" spans="1:14" x14ac:dyDescent="0.25">
      <c r="A2493" s="1" t="s">
        <v>83</v>
      </c>
      <c r="B2493" s="43" t="s">
        <v>143</v>
      </c>
      <c r="C2493" s="62">
        <f>VLOOKUP(B2493,合并仓明细!$D$2:$F$74,3,0)</f>
        <v>131</v>
      </c>
      <c r="D2493" t="s">
        <v>413</v>
      </c>
      <c r="E2493" s="43" t="s">
        <v>360</v>
      </c>
      <c r="F2493" t="s">
        <v>66</v>
      </c>
      <c r="G2493" s="42">
        <v>45.01</v>
      </c>
      <c r="N2493" s="38">
        <f t="shared" si="38"/>
        <v>0</v>
      </c>
    </row>
    <row r="2494" spans="1:14" x14ac:dyDescent="0.25">
      <c r="A2494" s="1" t="s">
        <v>83</v>
      </c>
      <c r="B2494" s="43" t="s">
        <v>143</v>
      </c>
      <c r="C2494" s="62">
        <f>VLOOKUP(B2494,合并仓明细!$D$2:$F$74,3,0)</f>
        <v>131</v>
      </c>
      <c r="D2494" t="s">
        <v>413</v>
      </c>
      <c r="E2494" s="43" t="s">
        <v>320</v>
      </c>
      <c r="F2494" t="s">
        <v>68</v>
      </c>
      <c r="G2494" s="42">
        <v>587.68999999999994</v>
      </c>
      <c r="H2494" s="35">
        <v>1.5148699999999999</v>
      </c>
      <c r="I2494" s="46">
        <f>ROUNDUP(H2494/30,0)*VLOOKUP(D2494,'报价表-配送'!$B$9:$I$13,8,0)</f>
        <v>0</v>
      </c>
      <c r="N2494" s="38">
        <f t="shared" si="38"/>
        <v>0</v>
      </c>
    </row>
    <row r="2495" spans="1:14" x14ac:dyDescent="0.25">
      <c r="A2495" s="1" t="s">
        <v>83</v>
      </c>
      <c r="B2495" s="43" t="s">
        <v>143</v>
      </c>
      <c r="C2495" s="62">
        <f>VLOOKUP(B2495,合并仓明细!$D$2:$F$74,3,0)</f>
        <v>131</v>
      </c>
      <c r="D2495" t="s">
        <v>413</v>
      </c>
      <c r="E2495" s="43" t="s">
        <v>320</v>
      </c>
      <c r="F2495" t="s">
        <v>67</v>
      </c>
      <c r="G2495" s="42">
        <v>757.31000000000006</v>
      </c>
      <c r="L2495" s="37"/>
      <c r="M2495" s="39"/>
      <c r="N2495" s="38">
        <f t="shared" si="38"/>
        <v>0</v>
      </c>
    </row>
    <row r="2496" spans="1:14" x14ac:dyDescent="0.25">
      <c r="A2496" s="1" t="s">
        <v>83</v>
      </c>
      <c r="B2496" s="43" t="s">
        <v>143</v>
      </c>
      <c r="C2496" s="62">
        <f>VLOOKUP(B2496,合并仓明细!$D$2:$F$74,3,0)</f>
        <v>131</v>
      </c>
      <c r="D2496" t="s">
        <v>413</v>
      </c>
      <c r="E2496" s="43" t="s">
        <v>320</v>
      </c>
      <c r="F2496" t="s">
        <v>66</v>
      </c>
      <c r="G2496" s="42">
        <v>169.87</v>
      </c>
      <c r="L2496" s="37"/>
      <c r="M2496" s="39"/>
      <c r="N2496" s="38">
        <f t="shared" si="38"/>
        <v>0</v>
      </c>
    </row>
    <row r="2497" spans="1:14" x14ac:dyDescent="0.25">
      <c r="A2497" s="1" t="s">
        <v>83</v>
      </c>
      <c r="B2497" s="43" t="s">
        <v>143</v>
      </c>
      <c r="C2497" s="62">
        <f>VLOOKUP(B2497,合并仓明细!$D$2:$F$74,3,0)</f>
        <v>131</v>
      </c>
      <c r="D2497" t="s">
        <v>413</v>
      </c>
      <c r="E2497" s="43" t="s">
        <v>301</v>
      </c>
      <c r="F2497" t="s">
        <v>66</v>
      </c>
      <c r="G2497" s="42">
        <v>49.2</v>
      </c>
      <c r="H2497" s="35">
        <v>4.9200000000000001E-2</v>
      </c>
      <c r="I2497" s="46"/>
      <c r="K2497" s="1"/>
      <c r="L2497" s="37">
        <f>IF(H2497&gt;30,QUOTIENT(H2497,30)*VLOOKUP(D2497,'报价表-配送'!$B$9:$I$13,8,0),0)+IF(AND(MOD(H2497,30)&gt;18,MOD(H2497,30)&lt;=30),1,0)*VLOOKUP(D2497,'报价表-配送'!$B$9:$I$13,8,0)+IF(AND(MOD(H2497,30)&gt;8,MOD(H2497,30)&lt;=18),1*VLOOKUP(D2497,'报价表-配送'!$B$9:$I$13,7,0),0)+IF(AND(MOD(H2497,30)&lt;=8,MOD(H2497,30)&gt;2.5),1,0)*VLOOKUP(D2497,'报价表-配送'!$B$9:$I$13,6,0)+IF(AND(MOD(H2497,30)&lt;=2.5,MOD(H2497,30)&gt;=1.5),1,0)*VLOOKUP(D2497,'报价表-配送'!$B$9:$I$13,5,0)</f>
        <v>0</v>
      </c>
      <c r="M2497" s="39">
        <f>IF(AND(MOD(H2497,30)&lt;1.5,MOD(H2497,30)&gt;=0.5),H2497,0)*VLOOKUP(D2497,'报价表-配送'!$B$9:$I$13,4,0)*1000+IF(AND(MOD(H2497,30)&lt;0.5,MOD(H2497,30)&gt;=0.02),H2497,0)*VLOOKUP(D2497,'报价表-配送'!$B$9:$I$13,3,0)*1000+IF(AND(MOD(H2497,30)&lt;0.02),H2497,0)*VLOOKUP(D2497,'报价表-配送'!$B$9:$I$13,2,0)*1000</f>
        <v>0</v>
      </c>
      <c r="N2497" s="38">
        <f t="shared" si="38"/>
        <v>0</v>
      </c>
    </row>
    <row r="2498" spans="1:14" x14ac:dyDescent="0.25">
      <c r="A2498" s="1" t="s">
        <v>83</v>
      </c>
      <c r="B2498" s="43" t="s">
        <v>143</v>
      </c>
      <c r="C2498" s="62">
        <f>VLOOKUP(B2498,合并仓明细!$D$2:$F$74,3,0)</f>
        <v>131</v>
      </c>
      <c r="D2498" t="s">
        <v>413</v>
      </c>
      <c r="E2498" s="43" t="s">
        <v>355</v>
      </c>
      <c r="F2498" t="s">
        <v>68</v>
      </c>
      <c r="G2498" s="42">
        <v>4.26</v>
      </c>
      <c r="H2498" s="35">
        <v>0.61675999999999997</v>
      </c>
      <c r="I2498" s="46">
        <f>ROUNDUP(H2498/30,0)*VLOOKUP(D2498,'报价表-配送'!$B$9:$I$13,8,0)</f>
        <v>0</v>
      </c>
      <c r="N2498" s="38">
        <f t="shared" si="38"/>
        <v>0</v>
      </c>
    </row>
    <row r="2499" spans="1:14" x14ac:dyDescent="0.25">
      <c r="A2499" s="1" t="s">
        <v>83</v>
      </c>
      <c r="B2499" s="43" t="s">
        <v>143</v>
      </c>
      <c r="C2499" s="62">
        <f>VLOOKUP(B2499,合并仓明细!$D$2:$F$74,3,0)</f>
        <v>131</v>
      </c>
      <c r="D2499" t="s">
        <v>413</v>
      </c>
      <c r="E2499" s="43" t="s">
        <v>355</v>
      </c>
      <c r="F2499" t="s">
        <v>67</v>
      </c>
      <c r="G2499" s="42">
        <v>119.34</v>
      </c>
      <c r="N2499" s="38">
        <f t="shared" si="38"/>
        <v>0</v>
      </c>
    </row>
    <row r="2500" spans="1:14" x14ac:dyDescent="0.25">
      <c r="A2500" s="1" t="s">
        <v>83</v>
      </c>
      <c r="B2500" s="43" t="s">
        <v>143</v>
      </c>
      <c r="C2500" s="62">
        <f>VLOOKUP(B2500,合并仓明细!$D$2:$F$74,3,0)</f>
        <v>131</v>
      </c>
      <c r="D2500" t="s">
        <v>413</v>
      </c>
      <c r="E2500" s="43" t="s">
        <v>355</v>
      </c>
      <c r="F2500" t="s">
        <v>66</v>
      </c>
      <c r="G2500" s="42">
        <v>493.16</v>
      </c>
      <c r="L2500" s="37"/>
      <c r="M2500" s="39"/>
      <c r="N2500" s="38">
        <f t="shared" si="38"/>
        <v>0</v>
      </c>
    </row>
    <row r="2501" spans="1:14" x14ac:dyDescent="0.25">
      <c r="A2501" s="1" t="s">
        <v>83</v>
      </c>
      <c r="B2501" s="43" t="s">
        <v>143</v>
      </c>
      <c r="C2501" s="62">
        <f>VLOOKUP(B2501,合并仓明细!$D$2:$F$74,3,0)</f>
        <v>131</v>
      </c>
      <c r="D2501" t="s">
        <v>413</v>
      </c>
      <c r="E2501" s="43" t="s">
        <v>321</v>
      </c>
      <c r="F2501" t="s">
        <v>66</v>
      </c>
      <c r="G2501" s="42">
        <v>994.4</v>
      </c>
      <c r="H2501" s="35">
        <v>0.99439999999999995</v>
      </c>
      <c r="I2501" s="46"/>
      <c r="K2501" s="1"/>
      <c r="L2501" s="37">
        <f>IF(H2501&gt;30,QUOTIENT(H2501,30)*VLOOKUP(D2501,'报价表-配送'!$B$9:$I$13,8,0),0)+IF(AND(MOD(H2501,30)&gt;18,MOD(H2501,30)&lt;=30),1,0)*VLOOKUP(D2501,'报价表-配送'!$B$9:$I$13,8,0)+IF(AND(MOD(H2501,30)&gt;8,MOD(H2501,30)&lt;=18),1*VLOOKUP(D2501,'报价表-配送'!$B$9:$I$13,7,0),0)+IF(AND(MOD(H2501,30)&lt;=8,MOD(H2501,30)&gt;2.5),1,0)*VLOOKUP(D2501,'报价表-配送'!$B$9:$I$13,6,0)+IF(AND(MOD(H2501,30)&lt;=2.5,MOD(H2501,30)&gt;=1.5),1,0)*VLOOKUP(D2501,'报价表-配送'!$B$9:$I$13,5,0)</f>
        <v>0</v>
      </c>
      <c r="M2501" s="39">
        <f>IF(AND(MOD(H2501,30)&lt;1.5,MOD(H2501,30)&gt;=0.5),H2501,0)*VLOOKUP(D2501,'报价表-配送'!$B$9:$I$13,4,0)*1000+IF(AND(MOD(H2501,30)&lt;0.5,MOD(H2501,30)&gt;=0.02),H2501,0)*VLOOKUP(D2501,'报价表-配送'!$B$9:$I$13,3,0)*1000+IF(AND(MOD(H2501,30)&lt;0.02),H2501,0)*VLOOKUP(D2501,'报价表-配送'!$B$9:$I$13,2,0)*1000</f>
        <v>0</v>
      </c>
      <c r="N2501" s="38">
        <f t="shared" si="38"/>
        <v>0</v>
      </c>
    </row>
    <row r="2502" spans="1:14" x14ac:dyDescent="0.25">
      <c r="A2502" s="1" t="s">
        <v>83</v>
      </c>
      <c r="B2502" s="43" t="s">
        <v>143</v>
      </c>
      <c r="C2502" s="62">
        <f>VLOOKUP(B2502,合并仓明细!$D$2:$F$74,3,0)</f>
        <v>131</v>
      </c>
      <c r="D2502" t="s">
        <v>413</v>
      </c>
      <c r="E2502" s="43" t="s">
        <v>330</v>
      </c>
      <c r="F2502" t="s">
        <v>66</v>
      </c>
      <c r="G2502" s="42">
        <v>790.24</v>
      </c>
      <c r="H2502" s="35">
        <v>0.79024000000000005</v>
      </c>
      <c r="L2502" s="37">
        <f>IF(H2502&gt;30,QUOTIENT(H2502,30)*VLOOKUP(D2502,'报价表-配送'!$B$9:$I$13,8,0),0)+IF(AND(MOD(H2502,30)&gt;18,MOD(H2502,30)&lt;=30),1,0)*VLOOKUP(D2502,'报价表-配送'!$B$9:$I$13,8,0)+IF(AND(MOD(H2502,30)&gt;8,MOD(H2502,30)&lt;=18),1*VLOOKUP(D2502,'报价表-配送'!$B$9:$I$13,7,0),0)+IF(AND(MOD(H2502,30)&lt;=8,MOD(H2502,30)&gt;2.5),1,0)*VLOOKUP(D2502,'报价表-配送'!$B$9:$I$13,6,0)+IF(AND(MOD(H2502,30)&lt;=2.5,MOD(H2502,30)&gt;=1.5),1,0)*VLOOKUP(D2502,'报价表-配送'!$B$9:$I$13,5,0)</f>
        <v>0</v>
      </c>
      <c r="M2502" s="39">
        <f>IF(AND(MOD(H2502,30)&lt;1.5,MOD(H2502,30)&gt;=0.5),H2502,0)*VLOOKUP(D2502,'报价表-配送'!$B$9:$I$13,4,0)*1000+IF(AND(MOD(H2502,30)&lt;0.5,MOD(H2502,30)&gt;=0.02),H2502,0)*VLOOKUP(D2502,'报价表-配送'!$B$9:$I$13,3,0)*1000+IF(AND(MOD(H2502,30)&lt;0.02),H2502,0)*VLOOKUP(D2502,'报价表-配送'!$B$9:$I$13,2,0)*1000</f>
        <v>0</v>
      </c>
      <c r="N2502" s="38">
        <f t="shared" si="38"/>
        <v>0</v>
      </c>
    </row>
    <row r="2503" spans="1:14" x14ac:dyDescent="0.25">
      <c r="A2503" s="1" t="s">
        <v>83</v>
      </c>
      <c r="B2503" s="43" t="s">
        <v>143</v>
      </c>
      <c r="C2503" s="62">
        <f>VLOOKUP(B2503,合并仓明细!$D$2:$F$74,3,0)</f>
        <v>131</v>
      </c>
      <c r="D2503" t="s">
        <v>413</v>
      </c>
      <c r="E2503" s="43" t="s">
        <v>365</v>
      </c>
      <c r="F2503" t="s">
        <v>67</v>
      </c>
      <c r="G2503" s="42">
        <v>123.32999999999998</v>
      </c>
      <c r="H2503" s="35">
        <v>1.8131099999999998</v>
      </c>
      <c r="I2503" s="38">
        <f>IF(H2503&gt;30,QUOTIENT(H2503,30)*VLOOKUP(D2503,'报价表-配送'!$B$9:$I$13,8,0),0)+IF(AND(MOD(H2503,30)&gt;18,MOD(H2503,30)&lt;=30),1,0)*VLOOKUP(D2503,'报价表-配送'!$B$9:$I$13,8,0)</f>
        <v>0</v>
      </c>
      <c r="J2503" s="38">
        <f>IF(AND(MOD(H2503,30)&gt;8,MOD(H2503,30)&lt;=18),1*VLOOKUP(D2503,'报价表-配送'!$B$9:$I$13,7,0),0)</f>
        <v>0</v>
      </c>
      <c r="K2503" s="38">
        <f>IF(AND(MOD(H2503,30)&lt;=8,MOD(H2503,30)&gt;0),1,0)*VLOOKUP(D2503,'报价表-配送'!$B$9:$I$13,6,0)</f>
        <v>0</v>
      </c>
      <c r="N2503" s="38">
        <f t="shared" si="38"/>
        <v>0</v>
      </c>
    </row>
    <row r="2504" spans="1:14" x14ac:dyDescent="0.25">
      <c r="A2504" s="1" t="s">
        <v>83</v>
      </c>
      <c r="B2504" s="43" t="s">
        <v>143</v>
      </c>
      <c r="C2504" s="62">
        <f>VLOOKUP(B2504,合并仓明细!$D$2:$F$74,3,0)</f>
        <v>131</v>
      </c>
      <c r="D2504" t="s">
        <v>413</v>
      </c>
      <c r="E2504" s="43" t="s">
        <v>365</v>
      </c>
      <c r="F2504" t="s">
        <v>66</v>
      </c>
      <c r="G2504" s="42">
        <v>1689.7799999999997</v>
      </c>
      <c r="I2504" s="46"/>
      <c r="K2504" s="1"/>
      <c r="L2504" s="33"/>
      <c r="M2504" s="1"/>
      <c r="N2504" s="38">
        <f t="shared" si="38"/>
        <v>0</v>
      </c>
    </row>
    <row r="2505" spans="1:14" x14ac:dyDescent="0.25">
      <c r="A2505" s="1" t="s">
        <v>83</v>
      </c>
      <c r="B2505" s="43" t="s">
        <v>143</v>
      </c>
      <c r="C2505" s="62">
        <f>VLOOKUP(B2505,合并仓明细!$D$2:$F$74,3,0)</f>
        <v>131</v>
      </c>
      <c r="D2505" t="s">
        <v>413</v>
      </c>
      <c r="E2505" s="43" t="s">
        <v>252</v>
      </c>
      <c r="F2505" t="s">
        <v>68</v>
      </c>
      <c r="G2505" s="42">
        <v>1084.4799999999998</v>
      </c>
      <c r="H2505" s="35">
        <v>4.6687899999999996</v>
      </c>
      <c r="I2505" s="46">
        <f>ROUNDUP(H2505/30,0)*VLOOKUP(D2505,'报价表-配送'!$B$9:$I$13,8,0)</f>
        <v>0</v>
      </c>
      <c r="N2505" s="38">
        <f t="shared" si="38"/>
        <v>0</v>
      </c>
    </row>
    <row r="2506" spans="1:14" x14ac:dyDescent="0.25">
      <c r="A2506" s="1" t="s">
        <v>83</v>
      </c>
      <c r="B2506" s="43" t="s">
        <v>143</v>
      </c>
      <c r="C2506" s="62">
        <f>VLOOKUP(B2506,合并仓明细!$D$2:$F$74,3,0)</f>
        <v>131</v>
      </c>
      <c r="D2506" t="s">
        <v>413</v>
      </c>
      <c r="E2506" s="43" t="s">
        <v>252</v>
      </c>
      <c r="F2506" t="s">
        <v>67</v>
      </c>
      <c r="G2506" s="42">
        <v>1029.5899999999999</v>
      </c>
      <c r="N2506" s="38">
        <f t="shared" si="38"/>
        <v>0</v>
      </c>
    </row>
    <row r="2507" spans="1:14" x14ac:dyDescent="0.25">
      <c r="A2507" s="1" t="s">
        <v>83</v>
      </c>
      <c r="B2507" s="43" t="s">
        <v>143</v>
      </c>
      <c r="C2507" s="62">
        <f>VLOOKUP(B2507,合并仓明细!$D$2:$F$74,3,0)</f>
        <v>131</v>
      </c>
      <c r="D2507" t="s">
        <v>413</v>
      </c>
      <c r="E2507" s="43" t="s">
        <v>252</v>
      </c>
      <c r="F2507" t="s">
        <v>66</v>
      </c>
      <c r="G2507" s="42">
        <v>2554.7200000000003</v>
      </c>
      <c r="I2507" s="52"/>
      <c r="J2507" s="52"/>
      <c r="K2507" s="52"/>
      <c r="L2507" s="37"/>
      <c r="M2507" s="37"/>
      <c r="N2507" s="38">
        <f t="shared" si="38"/>
        <v>0</v>
      </c>
    </row>
    <row r="2508" spans="1:14" x14ac:dyDescent="0.25">
      <c r="A2508" s="1" t="s">
        <v>83</v>
      </c>
      <c r="B2508" s="45" t="s">
        <v>143</v>
      </c>
      <c r="C2508" s="62">
        <f>VLOOKUP(B2508,合并仓明细!$D$2:$F$74,3,0)</f>
        <v>131</v>
      </c>
      <c r="D2508" t="s">
        <v>413</v>
      </c>
      <c r="E2508" s="43" t="s">
        <v>253</v>
      </c>
      <c r="F2508" t="s">
        <v>67</v>
      </c>
      <c r="G2508" s="42">
        <v>12.41</v>
      </c>
      <c r="H2508" s="35">
        <v>0.12414</v>
      </c>
      <c r="I2508" s="38">
        <f>IF(H2508&gt;30,QUOTIENT(H2508,30)*VLOOKUP(D2508,'报价表-配送'!$B$9:$I$13,8,0),0)+IF(AND(MOD(H2508,30)&gt;18,MOD(H2508,30)&lt;=30),1,0)*VLOOKUP(D2508,'报价表-配送'!$B$9:$I$13,8,0)</f>
        <v>0</v>
      </c>
      <c r="J2508" s="38">
        <f>IF(AND(MOD(H2508,30)&gt;8,MOD(H2508,30)&lt;=18),1*VLOOKUP(D2508,'报价表-配送'!$B$9:$I$13,7,0),0)</f>
        <v>0</v>
      </c>
      <c r="K2508" s="38">
        <f>IF(AND(MOD(H2508,30)&lt;=8,MOD(H2508,30)&gt;0),1,0)*VLOOKUP(D2508,'报价表-配送'!$B$9:$I$13,6,0)</f>
        <v>0</v>
      </c>
      <c r="N2508" s="38">
        <f t="shared" si="38"/>
        <v>0</v>
      </c>
    </row>
    <row r="2509" spans="1:14" x14ac:dyDescent="0.25">
      <c r="A2509" s="1" t="s">
        <v>83</v>
      </c>
      <c r="B2509" s="44" t="s">
        <v>143</v>
      </c>
      <c r="C2509" s="62">
        <f>VLOOKUP(B2509,合并仓明细!$D$2:$F$74,3,0)</f>
        <v>131</v>
      </c>
      <c r="D2509" t="s">
        <v>413</v>
      </c>
      <c r="E2509" s="43" t="s">
        <v>253</v>
      </c>
      <c r="F2509" t="s">
        <v>66</v>
      </c>
      <c r="G2509" s="42">
        <v>111.73</v>
      </c>
      <c r="L2509" s="37"/>
      <c r="M2509" s="39"/>
      <c r="N2509" s="38">
        <f t="shared" si="38"/>
        <v>0</v>
      </c>
    </row>
    <row r="2510" spans="1:14" x14ac:dyDescent="0.25">
      <c r="A2510" s="1" t="s">
        <v>83</v>
      </c>
      <c r="B2510" s="43" t="s">
        <v>143</v>
      </c>
      <c r="C2510" s="62">
        <f>VLOOKUP(B2510,合并仓明细!$D$2:$F$74,3,0)</f>
        <v>131</v>
      </c>
      <c r="D2510" t="s">
        <v>413</v>
      </c>
      <c r="E2510" s="43" t="s">
        <v>331</v>
      </c>
      <c r="F2510" t="s">
        <v>68</v>
      </c>
      <c r="G2510" s="42">
        <v>33.36</v>
      </c>
      <c r="H2510" s="35">
        <v>0.12808</v>
      </c>
      <c r="I2510" s="46">
        <f>ROUNDUP(H2510/30,0)*VLOOKUP(D2510,'报价表-配送'!$B$9:$I$13,8,0)</f>
        <v>0</v>
      </c>
      <c r="L2510" s="37"/>
      <c r="M2510" s="39"/>
      <c r="N2510" s="38">
        <f t="shared" si="38"/>
        <v>0</v>
      </c>
    </row>
    <row r="2511" spans="1:14" x14ac:dyDescent="0.25">
      <c r="A2511" s="1" t="s">
        <v>83</v>
      </c>
      <c r="B2511" s="43" t="s">
        <v>143</v>
      </c>
      <c r="C2511" s="62">
        <f>VLOOKUP(B2511,合并仓明细!$D$2:$F$74,3,0)</f>
        <v>131</v>
      </c>
      <c r="D2511" t="s">
        <v>413</v>
      </c>
      <c r="E2511" s="43" t="s">
        <v>331</v>
      </c>
      <c r="F2511" t="s">
        <v>67</v>
      </c>
      <c r="G2511" s="42">
        <v>13.94</v>
      </c>
      <c r="L2511" s="37"/>
      <c r="M2511" s="39"/>
      <c r="N2511" s="38">
        <f t="shared" si="38"/>
        <v>0</v>
      </c>
    </row>
    <row r="2512" spans="1:14" x14ac:dyDescent="0.25">
      <c r="A2512" s="1" t="s">
        <v>83</v>
      </c>
      <c r="B2512" s="43" t="s">
        <v>143</v>
      </c>
      <c r="C2512" s="62">
        <f>VLOOKUP(B2512,合并仓明细!$D$2:$F$74,3,0)</f>
        <v>131</v>
      </c>
      <c r="D2512" t="s">
        <v>413</v>
      </c>
      <c r="E2512" s="43" t="s">
        <v>331</v>
      </c>
      <c r="F2512" t="s">
        <v>66</v>
      </c>
      <c r="G2512" s="42">
        <v>80.780000000000015</v>
      </c>
      <c r="L2512" s="37"/>
      <c r="M2512" s="39"/>
      <c r="N2512" s="38">
        <f t="shared" si="38"/>
        <v>0</v>
      </c>
    </row>
    <row r="2513" spans="1:14" x14ac:dyDescent="0.25">
      <c r="A2513" s="1" t="s">
        <v>83</v>
      </c>
      <c r="B2513" s="43" t="s">
        <v>143</v>
      </c>
      <c r="C2513" s="62">
        <f>VLOOKUP(B2513,合并仓明细!$D$2:$F$74,3,0)</f>
        <v>131</v>
      </c>
      <c r="D2513" t="s">
        <v>413</v>
      </c>
      <c r="E2513" s="43" t="s">
        <v>328</v>
      </c>
      <c r="F2513" t="s">
        <v>68</v>
      </c>
      <c r="G2513" s="42">
        <v>441.73</v>
      </c>
      <c r="H2513" s="35">
        <v>0.53179999999999994</v>
      </c>
      <c r="I2513" s="46">
        <f>ROUNDUP(H2513/30,0)*VLOOKUP(D2513,'报价表-配送'!$B$9:$I$13,8,0)</f>
        <v>0</v>
      </c>
      <c r="K2513" s="1"/>
      <c r="L2513" s="33"/>
      <c r="M2513" s="1"/>
      <c r="N2513" s="38">
        <f t="shared" si="38"/>
        <v>0</v>
      </c>
    </row>
    <row r="2514" spans="1:14" x14ac:dyDescent="0.25">
      <c r="A2514" s="1" t="s">
        <v>83</v>
      </c>
      <c r="B2514" s="43" t="s">
        <v>143</v>
      </c>
      <c r="C2514" s="62">
        <f>VLOOKUP(B2514,合并仓明细!$D$2:$F$74,3,0)</f>
        <v>131</v>
      </c>
      <c r="D2514" t="s">
        <v>413</v>
      </c>
      <c r="E2514" s="43" t="s">
        <v>328</v>
      </c>
      <c r="F2514" t="s">
        <v>66</v>
      </c>
      <c r="G2514" s="42">
        <v>90.07</v>
      </c>
      <c r="N2514" s="38">
        <f t="shared" si="38"/>
        <v>0</v>
      </c>
    </row>
    <row r="2515" spans="1:14" x14ac:dyDescent="0.25">
      <c r="A2515" s="1" t="s">
        <v>83</v>
      </c>
      <c r="B2515" s="43" t="s">
        <v>143</v>
      </c>
      <c r="C2515" s="62">
        <f>VLOOKUP(B2515,合并仓明细!$D$2:$F$74,3,0)</f>
        <v>131</v>
      </c>
      <c r="D2515" t="s">
        <v>413</v>
      </c>
      <c r="E2515" s="43" t="s">
        <v>254</v>
      </c>
      <c r="F2515" t="s">
        <v>68</v>
      </c>
      <c r="G2515" s="42">
        <v>6535.5600000000022</v>
      </c>
      <c r="H2515" s="35">
        <v>61.006680000000024</v>
      </c>
      <c r="I2515" s="46">
        <f>ROUNDUP(H2515/30,0)*VLOOKUP(D2515,'报价表-配送'!$B$9:$I$13,8,0)</f>
        <v>0</v>
      </c>
      <c r="N2515" s="38">
        <f t="shared" si="38"/>
        <v>0</v>
      </c>
    </row>
    <row r="2516" spans="1:14" x14ac:dyDescent="0.25">
      <c r="A2516" s="1" t="s">
        <v>83</v>
      </c>
      <c r="B2516" s="43" t="s">
        <v>143</v>
      </c>
      <c r="C2516" s="62">
        <f>VLOOKUP(B2516,合并仓明细!$D$2:$F$74,3,0)</f>
        <v>131</v>
      </c>
      <c r="D2516" t="s">
        <v>413</v>
      </c>
      <c r="E2516" s="43" t="s">
        <v>254</v>
      </c>
      <c r="F2516" t="s">
        <v>67</v>
      </c>
      <c r="G2516" s="42">
        <v>45320.700000000019</v>
      </c>
      <c r="L2516" s="37"/>
      <c r="M2516" s="39"/>
      <c r="N2516" s="38">
        <f t="shared" si="38"/>
        <v>0</v>
      </c>
    </row>
    <row r="2517" spans="1:14" x14ac:dyDescent="0.25">
      <c r="A2517" s="1" t="s">
        <v>83</v>
      </c>
      <c r="B2517" s="43" t="s">
        <v>143</v>
      </c>
      <c r="C2517" s="62">
        <f>VLOOKUP(B2517,合并仓明细!$D$2:$F$74,3,0)</f>
        <v>131</v>
      </c>
      <c r="D2517" t="s">
        <v>413</v>
      </c>
      <c r="E2517" s="43" t="s">
        <v>254</v>
      </c>
      <c r="F2517" t="s">
        <v>66</v>
      </c>
      <c r="G2517" s="42">
        <v>9150.4200000000019</v>
      </c>
      <c r="I2517" s="46"/>
      <c r="K2517" s="1"/>
      <c r="L2517" s="33"/>
      <c r="M2517" s="1"/>
      <c r="N2517" s="38">
        <f t="shared" si="38"/>
        <v>0</v>
      </c>
    </row>
    <row r="2518" spans="1:14" x14ac:dyDescent="0.25">
      <c r="A2518" s="1" t="s">
        <v>83</v>
      </c>
      <c r="B2518" s="43" t="s">
        <v>143</v>
      </c>
      <c r="C2518" s="62">
        <f>VLOOKUP(B2518,合并仓明细!$D$2:$F$74,3,0)</f>
        <v>131</v>
      </c>
      <c r="D2518" t="s">
        <v>413</v>
      </c>
      <c r="E2518" s="43" t="s">
        <v>367</v>
      </c>
      <c r="F2518" t="s">
        <v>67</v>
      </c>
      <c r="G2518" s="42">
        <v>6992.4800000000005</v>
      </c>
      <c r="H2518" s="35">
        <v>12.04087</v>
      </c>
      <c r="I2518" s="38">
        <f>IF(H2518&gt;30,QUOTIENT(H2518,30)*VLOOKUP(D2518,'报价表-配送'!$B$9:$I$13,8,0),0)+IF(AND(MOD(H2518,30)&gt;18,MOD(H2518,30)&lt;=30),1,0)*VLOOKUP(D2518,'报价表-配送'!$B$9:$I$13,8,0)</f>
        <v>0</v>
      </c>
      <c r="J2518" s="38">
        <f>IF(AND(MOD(H2518,30)&gt;8,MOD(H2518,30)&lt;=18),1*VLOOKUP(D2518,'报价表-配送'!$B$9:$I$13,7,0),0)</f>
        <v>0</v>
      </c>
      <c r="K2518" s="38">
        <f>IF(AND(MOD(H2518,30)&lt;=8,MOD(H2518,30)&gt;0),1,0)*VLOOKUP(D2518,'报价表-配送'!$B$9:$I$13,6,0)</f>
        <v>0</v>
      </c>
      <c r="L2518" s="33"/>
      <c r="M2518" s="1"/>
      <c r="N2518" s="38">
        <f t="shared" si="38"/>
        <v>0</v>
      </c>
    </row>
    <row r="2519" spans="1:14" x14ac:dyDescent="0.25">
      <c r="A2519" s="1" t="s">
        <v>83</v>
      </c>
      <c r="B2519" s="43" t="s">
        <v>143</v>
      </c>
      <c r="C2519" s="62">
        <f>VLOOKUP(B2519,合并仓明细!$D$2:$F$74,3,0)</f>
        <v>131</v>
      </c>
      <c r="D2519" t="s">
        <v>413</v>
      </c>
      <c r="E2519" s="43" t="s">
        <v>367</v>
      </c>
      <c r="F2519" t="s">
        <v>66</v>
      </c>
      <c r="G2519" s="42">
        <v>5048.3900000000003</v>
      </c>
      <c r="N2519" s="38">
        <f t="shared" si="38"/>
        <v>0</v>
      </c>
    </row>
    <row r="2520" spans="1:14" x14ac:dyDescent="0.25">
      <c r="A2520" s="1" t="s">
        <v>83</v>
      </c>
      <c r="B2520" s="43" t="s">
        <v>143</v>
      </c>
      <c r="C2520" s="62">
        <f>VLOOKUP(B2520,合并仓明细!$D$2:$F$74,3,0)</f>
        <v>131</v>
      </c>
      <c r="D2520" t="s">
        <v>413</v>
      </c>
      <c r="E2520" s="43" t="s">
        <v>255</v>
      </c>
      <c r="F2520" t="s">
        <v>66</v>
      </c>
      <c r="G2520" s="42">
        <v>242.25</v>
      </c>
      <c r="H2520" s="35">
        <v>0.24224999999999999</v>
      </c>
      <c r="L2520" s="37">
        <f>IF(H2520&gt;30,QUOTIENT(H2520,30)*VLOOKUP(D2520,'报价表-配送'!$B$9:$I$13,8,0),0)+IF(AND(MOD(H2520,30)&gt;18,MOD(H2520,30)&lt;=30),1,0)*VLOOKUP(D2520,'报价表-配送'!$B$9:$I$13,8,0)+IF(AND(MOD(H2520,30)&gt;8,MOD(H2520,30)&lt;=18),1*VLOOKUP(D2520,'报价表-配送'!$B$9:$I$13,7,0),0)+IF(AND(MOD(H2520,30)&lt;=8,MOD(H2520,30)&gt;2.5),1,0)*VLOOKUP(D2520,'报价表-配送'!$B$9:$I$13,6,0)+IF(AND(MOD(H2520,30)&lt;=2.5,MOD(H2520,30)&gt;=1.5),1,0)*VLOOKUP(D2520,'报价表-配送'!$B$9:$I$13,5,0)</f>
        <v>0</v>
      </c>
      <c r="M2520" s="39">
        <f>IF(AND(MOD(H2520,30)&lt;1.5,MOD(H2520,30)&gt;=0.5),H2520,0)*VLOOKUP(D2520,'报价表-配送'!$B$9:$I$13,4,0)*1000+IF(AND(MOD(H2520,30)&lt;0.5,MOD(H2520,30)&gt;=0.02),H2520,0)*VLOOKUP(D2520,'报价表-配送'!$B$9:$I$13,3,0)*1000+IF(AND(MOD(H2520,30)&lt;0.02),H2520,0)*VLOOKUP(D2520,'报价表-配送'!$B$9:$I$13,2,0)*1000</f>
        <v>0</v>
      </c>
      <c r="N2520" s="38">
        <f t="shared" si="38"/>
        <v>0</v>
      </c>
    </row>
    <row r="2521" spans="1:14" x14ac:dyDescent="0.25">
      <c r="A2521" s="1" t="s">
        <v>83</v>
      </c>
      <c r="B2521" s="43" t="s">
        <v>176</v>
      </c>
      <c r="C2521" s="62">
        <f>VLOOKUP(B2521,合并仓明细!$D$2:$F$74,3,0)</f>
        <v>116</v>
      </c>
      <c r="D2521" t="s">
        <v>413</v>
      </c>
      <c r="E2521" s="43" t="s">
        <v>257</v>
      </c>
      <c r="F2521" t="s">
        <v>68</v>
      </c>
      <c r="G2521" s="42">
        <v>106.43</v>
      </c>
      <c r="H2521" s="35">
        <v>0.80803000000000003</v>
      </c>
      <c r="I2521" s="46">
        <f>ROUNDUP(H2521/30,0)*VLOOKUP(D2521,'报价表-配送'!$B$9:$I$13,8,0)</f>
        <v>0</v>
      </c>
      <c r="J2521" s="52"/>
      <c r="K2521" s="52"/>
      <c r="L2521" s="37"/>
      <c r="M2521" s="37"/>
      <c r="N2521" s="38">
        <f t="shared" si="38"/>
        <v>0</v>
      </c>
    </row>
    <row r="2522" spans="1:14" x14ac:dyDescent="0.25">
      <c r="A2522" s="1" t="s">
        <v>83</v>
      </c>
      <c r="B2522" s="43" t="s">
        <v>176</v>
      </c>
      <c r="C2522" s="62">
        <f>VLOOKUP(B2522,合并仓明细!$D$2:$F$74,3,0)</f>
        <v>116</v>
      </c>
      <c r="D2522" t="s">
        <v>413</v>
      </c>
      <c r="E2522" s="43" t="s">
        <v>257</v>
      </c>
      <c r="F2522" t="s">
        <v>67</v>
      </c>
      <c r="G2522" s="42">
        <v>544.37</v>
      </c>
      <c r="N2522" s="38">
        <f t="shared" si="38"/>
        <v>0</v>
      </c>
    </row>
    <row r="2523" spans="1:14" x14ac:dyDescent="0.25">
      <c r="A2523" s="1" t="s">
        <v>83</v>
      </c>
      <c r="B2523" s="43" t="s">
        <v>176</v>
      </c>
      <c r="C2523" s="62">
        <f>VLOOKUP(B2523,合并仓明细!$D$2:$F$74,3,0)</f>
        <v>116</v>
      </c>
      <c r="D2523" t="s">
        <v>413</v>
      </c>
      <c r="E2523" s="43" t="s">
        <v>257</v>
      </c>
      <c r="F2523" t="s">
        <v>66</v>
      </c>
      <c r="G2523" s="42">
        <v>157.23000000000002</v>
      </c>
      <c r="I2523" s="46"/>
      <c r="K2523" s="1"/>
      <c r="L2523" s="33"/>
      <c r="M2523" s="1"/>
      <c r="N2523" s="38">
        <f t="shared" si="38"/>
        <v>0</v>
      </c>
    </row>
    <row r="2524" spans="1:14" x14ac:dyDescent="0.25">
      <c r="A2524" s="1" t="s">
        <v>83</v>
      </c>
      <c r="B2524" s="43" t="s">
        <v>176</v>
      </c>
      <c r="C2524" s="62">
        <f>VLOOKUP(B2524,合并仓明细!$D$2:$F$74,3,0)</f>
        <v>116</v>
      </c>
      <c r="D2524" t="s">
        <v>413</v>
      </c>
      <c r="E2524" s="43" t="s">
        <v>389</v>
      </c>
      <c r="F2524" t="s">
        <v>68</v>
      </c>
      <c r="G2524" s="42">
        <v>25.54</v>
      </c>
      <c r="H2524" s="35">
        <v>3.0879999999999998E-2</v>
      </c>
      <c r="I2524" s="46">
        <f>ROUNDUP(H2524/30,0)*VLOOKUP(D2524,'报价表-配送'!$B$9:$I$13,8,0)</f>
        <v>0</v>
      </c>
      <c r="N2524" s="38">
        <f t="shared" si="38"/>
        <v>0</v>
      </c>
    </row>
    <row r="2525" spans="1:14" x14ac:dyDescent="0.25">
      <c r="A2525" s="1" t="s">
        <v>83</v>
      </c>
      <c r="B2525" s="43" t="s">
        <v>176</v>
      </c>
      <c r="C2525" s="62">
        <f>VLOOKUP(B2525,合并仓明细!$D$2:$F$74,3,0)</f>
        <v>116</v>
      </c>
      <c r="D2525" t="s">
        <v>413</v>
      </c>
      <c r="E2525" s="43" t="s">
        <v>389</v>
      </c>
      <c r="F2525" t="s">
        <v>66</v>
      </c>
      <c r="G2525" s="42">
        <v>5.34</v>
      </c>
      <c r="N2525" s="38">
        <f t="shared" si="38"/>
        <v>0</v>
      </c>
    </row>
    <row r="2526" spans="1:14" x14ac:dyDescent="0.25">
      <c r="A2526" s="1" t="s">
        <v>83</v>
      </c>
      <c r="B2526" s="43" t="s">
        <v>176</v>
      </c>
      <c r="C2526" s="62">
        <f>VLOOKUP(B2526,合并仓明细!$D$2:$F$74,3,0)</f>
        <v>116</v>
      </c>
      <c r="D2526" t="s">
        <v>413</v>
      </c>
      <c r="E2526" s="43" t="s">
        <v>369</v>
      </c>
      <c r="F2526" t="s">
        <v>66</v>
      </c>
      <c r="G2526" s="42">
        <v>13.180000000000001</v>
      </c>
      <c r="H2526" s="35">
        <v>1.3180000000000001E-2</v>
      </c>
      <c r="I2526" s="46"/>
      <c r="K2526" s="1"/>
      <c r="L2526" s="37">
        <f>IF(H2526&gt;30,QUOTIENT(H2526,30)*VLOOKUP(D2526,'报价表-配送'!$B$9:$I$13,8,0),0)+IF(AND(MOD(H2526,30)&gt;18,MOD(H2526,30)&lt;=30),1,0)*VLOOKUP(D2526,'报价表-配送'!$B$9:$I$13,8,0)+IF(AND(MOD(H2526,30)&gt;8,MOD(H2526,30)&lt;=18),1*VLOOKUP(D2526,'报价表-配送'!$B$9:$I$13,7,0),0)+IF(AND(MOD(H2526,30)&lt;=8,MOD(H2526,30)&gt;2.5),1,0)*VLOOKUP(D2526,'报价表-配送'!$B$9:$I$13,6,0)+IF(AND(MOD(H2526,30)&lt;=2.5,MOD(H2526,30)&gt;=1.5),1,0)*VLOOKUP(D2526,'报价表-配送'!$B$9:$I$13,5,0)</f>
        <v>0</v>
      </c>
      <c r="M2526" s="39">
        <f>IF(AND(MOD(H2526,30)&lt;1.5,MOD(H2526,30)&gt;=0.5),H2526,0)*VLOOKUP(D2526,'报价表-配送'!$B$9:$I$13,4,0)*1000+IF(AND(MOD(H2526,30)&lt;0.5,MOD(H2526,30)&gt;=0.02),H2526,0)*VLOOKUP(D2526,'报价表-配送'!$B$9:$I$13,3,0)*1000+IF(AND(MOD(H2526,30)&lt;0.02),H2526,0)*VLOOKUP(D2526,'报价表-配送'!$B$9:$I$13,2,0)*1000</f>
        <v>0</v>
      </c>
      <c r="N2526" s="38">
        <f t="shared" si="38"/>
        <v>0</v>
      </c>
    </row>
    <row r="2527" spans="1:14" x14ac:dyDescent="0.25">
      <c r="A2527" s="1" t="s">
        <v>83</v>
      </c>
      <c r="B2527" s="45" t="s">
        <v>176</v>
      </c>
      <c r="C2527" s="62">
        <f>VLOOKUP(B2527,合并仓明细!$D$2:$F$74,3,0)</f>
        <v>116</v>
      </c>
      <c r="D2527" t="s">
        <v>413</v>
      </c>
      <c r="E2527" s="43" t="s">
        <v>268</v>
      </c>
      <c r="F2527" t="s">
        <v>66</v>
      </c>
      <c r="G2527" s="42">
        <v>32.82</v>
      </c>
      <c r="H2527" s="35">
        <v>3.2820000000000002E-2</v>
      </c>
      <c r="L2527" s="37">
        <f>IF(H2527&gt;30,QUOTIENT(H2527,30)*VLOOKUP(D2527,'报价表-配送'!$B$9:$I$13,8,0),0)+IF(AND(MOD(H2527,30)&gt;18,MOD(H2527,30)&lt;=30),1,0)*VLOOKUP(D2527,'报价表-配送'!$B$9:$I$13,8,0)+IF(AND(MOD(H2527,30)&gt;8,MOD(H2527,30)&lt;=18),1*VLOOKUP(D2527,'报价表-配送'!$B$9:$I$13,7,0),0)+IF(AND(MOD(H2527,30)&lt;=8,MOD(H2527,30)&gt;2.5),1,0)*VLOOKUP(D2527,'报价表-配送'!$B$9:$I$13,6,0)+IF(AND(MOD(H2527,30)&lt;=2.5,MOD(H2527,30)&gt;=1.5),1,0)*VLOOKUP(D2527,'报价表-配送'!$B$9:$I$13,5,0)</f>
        <v>0</v>
      </c>
      <c r="M2527" s="39">
        <f>IF(AND(MOD(H2527,30)&lt;1.5,MOD(H2527,30)&gt;=0.5),H2527,0)*VLOOKUP(D2527,'报价表-配送'!$B$9:$I$13,4,0)*1000+IF(AND(MOD(H2527,30)&lt;0.5,MOD(H2527,30)&gt;=0.02),H2527,0)*VLOOKUP(D2527,'报价表-配送'!$B$9:$I$13,3,0)*1000+IF(AND(MOD(H2527,30)&lt;0.02),H2527,0)*VLOOKUP(D2527,'报价表-配送'!$B$9:$I$13,2,0)*1000</f>
        <v>0</v>
      </c>
      <c r="N2527" s="38">
        <f t="shared" si="38"/>
        <v>0</v>
      </c>
    </row>
    <row r="2528" spans="1:14" x14ac:dyDescent="0.25">
      <c r="A2528" s="1" t="s">
        <v>83</v>
      </c>
      <c r="B2528" s="44" t="s">
        <v>176</v>
      </c>
      <c r="C2528" s="62">
        <f>VLOOKUP(B2528,合并仓明细!$D$2:$F$74,3,0)</f>
        <v>116</v>
      </c>
      <c r="D2528" t="s">
        <v>413</v>
      </c>
      <c r="E2528" s="43" t="s">
        <v>271</v>
      </c>
      <c r="F2528" t="s">
        <v>67</v>
      </c>
      <c r="G2528" s="42">
        <v>641.25</v>
      </c>
      <c r="H2528" s="35">
        <v>0.79005999999999998</v>
      </c>
      <c r="I2528" s="38">
        <f>IF(H2528&gt;30,QUOTIENT(H2528,30)*VLOOKUP(D2528,'报价表-配送'!$B$9:$I$13,8,0),0)+IF(AND(MOD(H2528,30)&gt;18,MOD(H2528,30)&lt;=30),1,0)*VLOOKUP(D2528,'报价表-配送'!$B$9:$I$13,8,0)</f>
        <v>0</v>
      </c>
      <c r="J2528" s="38">
        <f>IF(AND(MOD(H2528,30)&gt;8,MOD(H2528,30)&lt;=18),1*VLOOKUP(D2528,'报价表-配送'!$B$9:$I$13,7,0),0)</f>
        <v>0</v>
      </c>
      <c r="K2528" s="38">
        <f>IF(AND(MOD(H2528,30)&lt;=8,MOD(H2528,30)&gt;0),1,0)*VLOOKUP(D2528,'报价表-配送'!$B$9:$I$13,6,0)</f>
        <v>0</v>
      </c>
      <c r="L2528" s="37"/>
      <c r="M2528" s="39"/>
      <c r="N2528" s="38">
        <f t="shared" si="38"/>
        <v>0</v>
      </c>
    </row>
    <row r="2529" spans="1:14" x14ac:dyDescent="0.25">
      <c r="A2529" s="1" t="s">
        <v>83</v>
      </c>
      <c r="B2529" s="43" t="s">
        <v>176</v>
      </c>
      <c r="C2529" s="62">
        <f>VLOOKUP(B2529,合并仓明细!$D$2:$F$74,3,0)</f>
        <v>116</v>
      </c>
      <c r="D2529" t="s">
        <v>413</v>
      </c>
      <c r="E2529" s="43" t="s">
        <v>271</v>
      </c>
      <c r="F2529" t="s">
        <v>66</v>
      </c>
      <c r="G2529" s="42">
        <v>148.81</v>
      </c>
      <c r="I2529" s="46"/>
      <c r="K2529" s="1"/>
      <c r="L2529" s="33"/>
      <c r="M2529" s="1"/>
      <c r="N2529" s="38">
        <f t="shared" si="38"/>
        <v>0</v>
      </c>
    </row>
    <row r="2530" spans="1:14" x14ac:dyDescent="0.25">
      <c r="A2530" s="1" t="s">
        <v>83</v>
      </c>
      <c r="B2530" s="43" t="s">
        <v>176</v>
      </c>
      <c r="C2530" s="62">
        <f>VLOOKUP(B2530,合并仓明细!$D$2:$F$74,3,0)</f>
        <v>116</v>
      </c>
      <c r="D2530" t="s">
        <v>413</v>
      </c>
      <c r="E2530" s="43" t="s">
        <v>322</v>
      </c>
      <c r="F2530" t="s">
        <v>67</v>
      </c>
      <c r="G2530" s="42">
        <v>121.21000000000001</v>
      </c>
      <c r="H2530" s="35">
        <v>0.16119</v>
      </c>
      <c r="I2530" s="38">
        <f>IF(H2530&gt;30,QUOTIENT(H2530,30)*VLOOKUP(D2530,'报价表-配送'!$B$9:$I$13,8,0),0)+IF(AND(MOD(H2530,30)&gt;18,MOD(H2530,30)&lt;=30),1,0)*VLOOKUP(D2530,'报价表-配送'!$B$9:$I$13,8,0)</f>
        <v>0</v>
      </c>
      <c r="J2530" s="38">
        <f>IF(AND(MOD(H2530,30)&gt;8,MOD(H2530,30)&lt;=18),1*VLOOKUP(D2530,'报价表-配送'!$B$9:$I$13,7,0),0)</f>
        <v>0</v>
      </c>
      <c r="K2530" s="38">
        <f>IF(AND(MOD(H2530,30)&lt;=8,MOD(H2530,30)&gt;0),1,0)*VLOOKUP(D2530,'报价表-配送'!$B$9:$I$13,6,0)</f>
        <v>0</v>
      </c>
      <c r="N2530" s="38">
        <f t="shared" si="38"/>
        <v>0</v>
      </c>
    </row>
    <row r="2531" spans="1:14" x14ac:dyDescent="0.25">
      <c r="A2531" s="1" t="s">
        <v>83</v>
      </c>
      <c r="B2531" s="43" t="s">
        <v>176</v>
      </c>
      <c r="C2531" s="62">
        <f>VLOOKUP(B2531,合并仓明细!$D$2:$F$74,3,0)</f>
        <v>116</v>
      </c>
      <c r="D2531" t="s">
        <v>413</v>
      </c>
      <c r="E2531" s="43" t="s">
        <v>322</v>
      </c>
      <c r="F2531" t="s">
        <v>66</v>
      </c>
      <c r="G2531" s="42">
        <v>39.979999999999997</v>
      </c>
      <c r="I2531" s="46"/>
      <c r="K2531" s="1"/>
      <c r="L2531" s="33"/>
      <c r="M2531" s="1"/>
      <c r="N2531" s="38">
        <f t="shared" si="38"/>
        <v>0</v>
      </c>
    </row>
    <row r="2532" spans="1:14" x14ac:dyDescent="0.25">
      <c r="A2532" s="1" t="s">
        <v>83</v>
      </c>
      <c r="B2532" s="43" t="s">
        <v>176</v>
      </c>
      <c r="C2532" s="62">
        <f>VLOOKUP(B2532,合并仓明细!$D$2:$F$74,3,0)</f>
        <v>116</v>
      </c>
      <c r="D2532" t="s">
        <v>413</v>
      </c>
      <c r="E2532" s="43" t="s">
        <v>336</v>
      </c>
      <c r="F2532" t="s">
        <v>67</v>
      </c>
      <c r="G2532" s="42">
        <v>72.09</v>
      </c>
      <c r="H2532" s="35">
        <v>8.1890000000000004E-2</v>
      </c>
      <c r="I2532" s="38">
        <f>IF(H2532&gt;30,QUOTIENT(H2532,30)*VLOOKUP(D2532,'报价表-配送'!$B$9:$I$13,8,0),0)+IF(AND(MOD(H2532,30)&gt;18,MOD(H2532,30)&lt;=30),1,0)*VLOOKUP(D2532,'报价表-配送'!$B$9:$I$13,8,0)</f>
        <v>0</v>
      </c>
      <c r="J2532" s="38">
        <f>IF(AND(MOD(H2532,30)&gt;8,MOD(H2532,30)&lt;=18),1*VLOOKUP(D2532,'报价表-配送'!$B$9:$I$13,7,0),0)</f>
        <v>0</v>
      </c>
      <c r="K2532" s="38">
        <f>IF(AND(MOD(H2532,30)&lt;=8,MOD(H2532,30)&gt;0),1,0)*VLOOKUP(D2532,'报价表-配送'!$B$9:$I$13,6,0)</f>
        <v>0</v>
      </c>
      <c r="N2532" s="38">
        <f t="shared" si="38"/>
        <v>0</v>
      </c>
    </row>
    <row r="2533" spans="1:14" x14ac:dyDescent="0.25">
      <c r="A2533" s="1" t="s">
        <v>83</v>
      </c>
      <c r="B2533" s="43" t="s">
        <v>176</v>
      </c>
      <c r="C2533" s="62">
        <f>VLOOKUP(B2533,合并仓明细!$D$2:$F$74,3,0)</f>
        <v>116</v>
      </c>
      <c r="D2533" t="s">
        <v>413</v>
      </c>
      <c r="E2533" s="43" t="s">
        <v>336</v>
      </c>
      <c r="F2533" t="s">
        <v>66</v>
      </c>
      <c r="G2533" s="42">
        <v>9.8000000000000007</v>
      </c>
      <c r="I2533" s="46"/>
      <c r="K2533" s="1"/>
      <c r="L2533" s="33"/>
      <c r="M2533" s="1"/>
      <c r="N2533" s="38">
        <f t="shared" si="38"/>
        <v>0</v>
      </c>
    </row>
    <row r="2534" spans="1:14" x14ac:dyDescent="0.25">
      <c r="A2534" s="1" t="s">
        <v>83</v>
      </c>
      <c r="B2534" s="43" t="s">
        <v>176</v>
      </c>
      <c r="C2534" s="62">
        <f>VLOOKUP(B2534,合并仓明细!$D$2:$F$74,3,0)</f>
        <v>116</v>
      </c>
      <c r="D2534" t="s">
        <v>413</v>
      </c>
      <c r="E2534" s="43" t="s">
        <v>274</v>
      </c>
      <c r="F2534" t="s">
        <v>67</v>
      </c>
      <c r="G2534" s="42">
        <v>767.13</v>
      </c>
      <c r="H2534" s="35">
        <v>0.77883000000000002</v>
      </c>
      <c r="I2534" s="38">
        <f>IF(H2534&gt;30,QUOTIENT(H2534,30)*VLOOKUP(D2534,'报价表-配送'!$B$9:$I$13,8,0),0)+IF(AND(MOD(H2534,30)&gt;18,MOD(H2534,30)&lt;=30),1,0)*VLOOKUP(D2534,'报价表-配送'!$B$9:$I$13,8,0)</f>
        <v>0</v>
      </c>
      <c r="J2534" s="38">
        <f>IF(AND(MOD(H2534,30)&gt;8,MOD(H2534,30)&lt;=18),1*VLOOKUP(D2534,'报价表-配送'!$B$9:$I$13,7,0),0)</f>
        <v>0</v>
      </c>
      <c r="K2534" s="38">
        <f>IF(AND(MOD(H2534,30)&lt;=8,MOD(H2534,30)&gt;0),1,0)*VLOOKUP(D2534,'报价表-配送'!$B$9:$I$13,6,0)</f>
        <v>0</v>
      </c>
      <c r="N2534" s="38">
        <f t="shared" si="38"/>
        <v>0</v>
      </c>
    </row>
    <row r="2535" spans="1:14" x14ac:dyDescent="0.25">
      <c r="A2535" s="1" t="s">
        <v>83</v>
      </c>
      <c r="B2535" s="43" t="s">
        <v>176</v>
      </c>
      <c r="C2535" s="62">
        <f>VLOOKUP(B2535,合并仓明细!$D$2:$F$74,3,0)</f>
        <v>116</v>
      </c>
      <c r="D2535" t="s">
        <v>413</v>
      </c>
      <c r="E2535" s="43" t="s">
        <v>274</v>
      </c>
      <c r="F2535" t="s">
        <v>66</v>
      </c>
      <c r="G2535" s="42">
        <v>11.700000000000001</v>
      </c>
      <c r="N2535" s="38">
        <f t="shared" si="38"/>
        <v>0</v>
      </c>
    </row>
    <row r="2536" spans="1:14" x14ac:dyDescent="0.25">
      <c r="A2536" s="1" t="s">
        <v>83</v>
      </c>
      <c r="B2536" s="43" t="s">
        <v>176</v>
      </c>
      <c r="C2536" s="62">
        <f>VLOOKUP(B2536,合并仓明细!$D$2:$F$74,3,0)</f>
        <v>116</v>
      </c>
      <c r="D2536" t="s">
        <v>413</v>
      </c>
      <c r="E2536" s="43" t="s">
        <v>351</v>
      </c>
      <c r="F2536" t="s">
        <v>67</v>
      </c>
      <c r="G2536" s="42">
        <v>496.67999999999995</v>
      </c>
      <c r="H2536" s="35">
        <v>0.65288999999999986</v>
      </c>
      <c r="I2536" s="38">
        <f>IF(H2536&gt;30,QUOTIENT(H2536,30)*VLOOKUP(D2536,'报价表-配送'!$B$9:$I$13,8,0),0)+IF(AND(MOD(H2536,30)&gt;18,MOD(H2536,30)&lt;=30),1,0)*VLOOKUP(D2536,'报价表-配送'!$B$9:$I$13,8,0)</f>
        <v>0</v>
      </c>
      <c r="J2536" s="38">
        <f>IF(AND(MOD(H2536,30)&gt;8,MOD(H2536,30)&lt;=18),1*VLOOKUP(D2536,'报价表-配送'!$B$9:$I$13,7,0),0)</f>
        <v>0</v>
      </c>
      <c r="K2536" s="38">
        <f>IF(AND(MOD(H2536,30)&lt;=8,MOD(H2536,30)&gt;0),1,0)*VLOOKUP(D2536,'报价表-配送'!$B$9:$I$13,6,0)</f>
        <v>0</v>
      </c>
      <c r="L2536" s="33"/>
      <c r="M2536" s="1"/>
      <c r="N2536" s="38">
        <f t="shared" si="38"/>
        <v>0</v>
      </c>
    </row>
    <row r="2537" spans="1:14" x14ac:dyDescent="0.25">
      <c r="A2537" s="1" t="s">
        <v>83</v>
      </c>
      <c r="B2537" s="43" t="s">
        <v>176</v>
      </c>
      <c r="C2537" s="62">
        <f>VLOOKUP(B2537,合并仓明细!$D$2:$F$74,3,0)</f>
        <v>116</v>
      </c>
      <c r="D2537" t="s">
        <v>413</v>
      </c>
      <c r="E2537" s="43" t="s">
        <v>351</v>
      </c>
      <c r="F2537" t="s">
        <v>66</v>
      </c>
      <c r="G2537" s="42">
        <v>156.20999999999998</v>
      </c>
      <c r="N2537" s="38">
        <f t="shared" si="38"/>
        <v>0</v>
      </c>
    </row>
    <row r="2538" spans="1:14" x14ac:dyDescent="0.25">
      <c r="A2538" s="1" t="s">
        <v>83</v>
      </c>
      <c r="B2538" s="43" t="s">
        <v>176</v>
      </c>
      <c r="C2538" s="62">
        <f>VLOOKUP(B2538,合并仓明细!$D$2:$F$74,3,0)</f>
        <v>116</v>
      </c>
      <c r="D2538" t="s">
        <v>413</v>
      </c>
      <c r="E2538" s="43" t="s">
        <v>275</v>
      </c>
      <c r="F2538" t="s">
        <v>66</v>
      </c>
      <c r="G2538" s="42">
        <v>25.459999999999997</v>
      </c>
      <c r="H2538" s="35">
        <v>2.5459999999999997E-2</v>
      </c>
      <c r="L2538" s="37">
        <f>IF(H2538&gt;30,QUOTIENT(H2538,30)*VLOOKUP(D2538,'报价表-配送'!$B$9:$I$13,8,0),0)+IF(AND(MOD(H2538,30)&gt;18,MOD(H2538,30)&lt;=30),1,0)*VLOOKUP(D2538,'报价表-配送'!$B$9:$I$13,8,0)+IF(AND(MOD(H2538,30)&gt;8,MOD(H2538,30)&lt;=18),1*VLOOKUP(D2538,'报价表-配送'!$B$9:$I$13,7,0),0)+IF(AND(MOD(H2538,30)&lt;=8,MOD(H2538,30)&gt;2.5),1,0)*VLOOKUP(D2538,'报价表-配送'!$B$9:$I$13,6,0)+IF(AND(MOD(H2538,30)&lt;=2.5,MOD(H2538,30)&gt;=1.5),1,0)*VLOOKUP(D2538,'报价表-配送'!$B$9:$I$13,5,0)</f>
        <v>0</v>
      </c>
      <c r="M2538" s="39">
        <f>IF(AND(MOD(H2538,30)&lt;1.5,MOD(H2538,30)&gt;=0.5),H2538,0)*VLOOKUP(D2538,'报价表-配送'!$B$9:$I$13,4,0)*1000+IF(AND(MOD(H2538,30)&lt;0.5,MOD(H2538,30)&gt;=0.02),H2538,0)*VLOOKUP(D2538,'报价表-配送'!$B$9:$I$13,3,0)*1000+IF(AND(MOD(H2538,30)&lt;0.02),H2538,0)*VLOOKUP(D2538,'报价表-配送'!$B$9:$I$13,2,0)*1000</f>
        <v>0</v>
      </c>
      <c r="N2538" s="38">
        <f t="shared" si="38"/>
        <v>0</v>
      </c>
    </row>
    <row r="2539" spans="1:14" x14ac:dyDescent="0.25">
      <c r="A2539" s="1" t="s">
        <v>83</v>
      </c>
      <c r="B2539" s="43" t="s">
        <v>176</v>
      </c>
      <c r="C2539" s="62">
        <f>VLOOKUP(B2539,合并仓明细!$D$2:$F$74,3,0)</f>
        <v>116</v>
      </c>
      <c r="D2539" t="s">
        <v>413</v>
      </c>
      <c r="E2539" s="43" t="s">
        <v>346</v>
      </c>
      <c r="F2539" t="s">
        <v>68</v>
      </c>
      <c r="G2539" s="42">
        <v>9.58</v>
      </c>
      <c r="H2539" s="35">
        <v>0.81840000000000013</v>
      </c>
      <c r="I2539" s="46">
        <f>ROUNDUP(H2539/30,0)*VLOOKUP(D2539,'报价表-配送'!$B$9:$I$13,8,0)</f>
        <v>0</v>
      </c>
      <c r="L2539" s="37"/>
      <c r="M2539" s="39"/>
      <c r="N2539" s="38">
        <f t="shared" si="38"/>
        <v>0</v>
      </c>
    </row>
    <row r="2540" spans="1:14" x14ac:dyDescent="0.25">
      <c r="A2540" s="1" t="s">
        <v>83</v>
      </c>
      <c r="B2540" s="43" t="s">
        <v>176</v>
      </c>
      <c r="C2540" s="62">
        <f>VLOOKUP(B2540,合并仓明细!$D$2:$F$74,3,0)</f>
        <v>116</v>
      </c>
      <c r="D2540" t="s">
        <v>413</v>
      </c>
      <c r="E2540" s="43" t="s">
        <v>346</v>
      </c>
      <c r="F2540" t="s">
        <v>67</v>
      </c>
      <c r="G2540" s="42">
        <v>700.66000000000008</v>
      </c>
      <c r="I2540" s="46"/>
      <c r="K2540" s="1"/>
      <c r="L2540" s="33"/>
      <c r="M2540" s="1"/>
      <c r="N2540" s="38">
        <f t="shared" ref="N2540:N2603" si="39">SUM(I2540:M2540)</f>
        <v>0</v>
      </c>
    </row>
    <row r="2541" spans="1:14" x14ac:dyDescent="0.25">
      <c r="A2541" s="1" t="s">
        <v>83</v>
      </c>
      <c r="B2541" s="43" t="s">
        <v>176</v>
      </c>
      <c r="C2541" s="62">
        <f>VLOOKUP(B2541,合并仓明细!$D$2:$F$74,3,0)</f>
        <v>116</v>
      </c>
      <c r="D2541" t="s">
        <v>413</v>
      </c>
      <c r="E2541" s="43" t="s">
        <v>346</v>
      </c>
      <c r="F2541" t="s">
        <v>66</v>
      </c>
      <c r="G2541" s="42">
        <v>108.15999999999998</v>
      </c>
      <c r="N2541" s="38">
        <f t="shared" si="39"/>
        <v>0</v>
      </c>
    </row>
    <row r="2542" spans="1:14" x14ac:dyDescent="0.25">
      <c r="A2542" s="1" t="s">
        <v>83</v>
      </c>
      <c r="B2542" s="43" t="s">
        <v>176</v>
      </c>
      <c r="C2542" s="62">
        <f>VLOOKUP(B2542,合并仓明细!$D$2:$F$74,3,0)</f>
        <v>116</v>
      </c>
      <c r="D2542" t="s">
        <v>413</v>
      </c>
      <c r="E2542" s="43" t="s">
        <v>276</v>
      </c>
      <c r="F2542" t="s">
        <v>66</v>
      </c>
      <c r="G2542" s="42">
        <v>2.09</v>
      </c>
      <c r="H2542" s="35">
        <v>2.0899999999999998E-3</v>
      </c>
      <c r="L2542" s="37">
        <f>IF(H2542&gt;30,QUOTIENT(H2542,30)*VLOOKUP(D2542,'报价表-配送'!$B$9:$I$13,8,0),0)+IF(AND(MOD(H2542,30)&gt;18,MOD(H2542,30)&lt;=30),1,0)*VLOOKUP(D2542,'报价表-配送'!$B$9:$I$13,8,0)+IF(AND(MOD(H2542,30)&gt;8,MOD(H2542,30)&lt;=18),1*VLOOKUP(D2542,'报价表-配送'!$B$9:$I$13,7,0),0)+IF(AND(MOD(H2542,30)&lt;=8,MOD(H2542,30)&gt;2.5),1,0)*VLOOKUP(D2542,'报价表-配送'!$B$9:$I$13,6,0)+IF(AND(MOD(H2542,30)&lt;=2.5,MOD(H2542,30)&gt;=1.5),1,0)*VLOOKUP(D2542,'报价表-配送'!$B$9:$I$13,5,0)</f>
        <v>0</v>
      </c>
      <c r="M2542" s="39">
        <f>IF(AND(MOD(H2542,30)&lt;1.5,MOD(H2542,30)&gt;=0.5),H2542,0)*VLOOKUP(D2542,'报价表-配送'!$B$9:$I$13,4,0)*1000+IF(AND(MOD(H2542,30)&lt;0.5,MOD(H2542,30)&gt;=0.02),H2542,0)*VLOOKUP(D2542,'报价表-配送'!$B$9:$I$13,3,0)*1000+IF(AND(MOD(H2542,30)&lt;0.02),H2542,0)*VLOOKUP(D2542,'报价表-配送'!$B$9:$I$13,2,0)*1000</f>
        <v>0</v>
      </c>
      <c r="N2542" s="38">
        <f t="shared" si="39"/>
        <v>0</v>
      </c>
    </row>
    <row r="2543" spans="1:14" x14ac:dyDescent="0.25">
      <c r="A2543" s="1" t="s">
        <v>83</v>
      </c>
      <c r="B2543" s="43" t="s">
        <v>176</v>
      </c>
      <c r="C2543" s="62">
        <f>VLOOKUP(B2543,合并仓明细!$D$2:$F$74,3,0)</f>
        <v>116</v>
      </c>
      <c r="D2543" t="s">
        <v>413</v>
      </c>
      <c r="E2543" s="43" t="s">
        <v>310</v>
      </c>
      <c r="F2543" t="s">
        <v>67</v>
      </c>
      <c r="G2543" s="42">
        <v>209.59</v>
      </c>
      <c r="H2543" s="35">
        <v>0.46639000000000008</v>
      </c>
      <c r="I2543" s="38">
        <f>IF(H2543&gt;30,QUOTIENT(H2543,30)*VLOOKUP(D2543,'报价表-配送'!$B$9:$I$13,8,0),0)+IF(AND(MOD(H2543,30)&gt;18,MOD(H2543,30)&lt;=30),1,0)*VLOOKUP(D2543,'报价表-配送'!$B$9:$I$13,8,0)</f>
        <v>0</v>
      </c>
      <c r="J2543" s="38">
        <f>IF(AND(MOD(H2543,30)&gt;8,MOD(H2543,30)&lt;=18),1*VLOOKUP(D2543,'报价表-配送'!$B$9:$I$13,7,0),0)</f>
        <v>0</v>
      </c>
      <c r="K2543" s="38">
        <f>IF(AND(MOD(H2543,30)&lt;=8,MOD(H2543,30)&gt;0),1,0)*VLOOKUP(D2543,'报价表-配送'!$B$9:$I$13,6,0)</f>
        <v>0</v>
      </c>
      <c r="L2543" s="33"/>
      <c r="M2543" s="1"/>
      <c r="N2543" s="38">
        <f t="shared" si="39"/>
        <v>0</v>
      </c>
    </row>
    <row r="2544" spans="1:14" x14ac:dyDescent="0.25">
      <c r="A2544" s="1" t="s">
        <v>83</v>
      </c>
      <c r="B2544" s="43" t="s">
        <v>176</v>
      </c>
      <c r="C2544" s="62">
        <f>VLOOKUP(B2544,合并仓明细!$D$2:$F$74,3,0)</f>
        <v>116</v>
      </c>
      <c r="D2544" t="s">
        <v>413</v>
      </c>
      <c r="E2544" s="43" t="s">
        <v>310</v>
      </c>
      <c r="F2544" t="s">
        <v>66</v>
      </c>
      <c r="G2544" s="42">
        <v>256.80000000000007</v>
      </c>
      <c r="N2544" s="38">
        <f t="shared" si="39"/>
        <v>0</v>
      </c>
    </row>
    <row r="2545" spans="1:14" x14ac:dyDescent="0.25">
      <c r="A2545" s="1" t="s">
        <v>83</v>
      </c>
      <c r="B2545" s="43" t="s">
        <v>176</v>
      </c>
      <c r="C2545" s="62">
        <f>VLOOKUP(B2545,合并仓明细!$D$2:$F$74,3,0)</f>
        <v>116</v>
      </c>
      <c r="D2545" t="s">
        <v>413</v>
      </c>
      <c r="E2545" s="43" t="s">
        <v>337</v>
      </c>
      <c r="F2545" t="s">
        <v>66</v>
      </c>
      <c r="G2545" s="42">
        <v>5.32</v>
      </c>
      <c r="H2545" s="35">
        <v>5.3200000000000001E-3</v>
      </c>
      <c r="L2545" s="37">
        <f>IF(H2545&gt;30,QUOTIENT(H2545,30)*VLOOKUP(D2545,'报价表-配送'!$B$9:$I$13,8,0),0)+IF(AND(MOD(H2545,30)&gt;18,MOD(H2545,30)&lt;=30),1,0)*VLOOKUP(D2545,'报价表-配送'!$B$9:$I$13,8,0)+IF(AND(MOD(H2545,30)&gt;8,MOD(H2545,30)&lt;=18),1*VLOOKUP(D2545,'报价表-配送'!$B$9:$I$13,7,0),0)+IF(AND(MOD(H2545,30)&lt;=8,MOD(H2545,30)&gt;2.5),1,0)*VLOOKUP(D2545,'报价表-配送'!$B$9:$I$13,6,0)+IF(AND(MOD(H2545,30)&lt;=2.5,MOD(H2545,30)&gt;=1.5),1,0)*VLOOKUP(D2545,'报价表-配送'!$B$9:$I$13,5,0)</f>
        <v>0</v>
      </c>
      <c r="M2545" s="39">
        <f>IF(AND(MOD(H2545,30)&lt;1.5,MOD(H2545,30)&gt;=0.5),H2545,0)*VLOOKUP(D2545,'报价表-配送'!$B$9:$I$13,4,0)*1000+IF(AND(MOD(H2545,30)&lt;0.5,MOD(H2545,30)&gt;=0.02),H2545,0)*VLOOKUP(D2545,'报价表-配送'!$B$9:$I$13,3,0)*1000+IF(AND(MOD(H2545,30)&lt;0.02),H2545,0)*VLOOKUP(D2545,'报价表-配送'!$B$9:$I$13,2,0)*1000</f>
        <v>0</v>
      </c>
      <c r="N2545" s="38">
        <f t="shared" si="39"/>
        <v>0</v>
      </c>
    </row>
    <row r="2546" spans="1:14" x14ac:dyDescent="0.25">
      <c r="A2546" s="1" t="s">
        <v>83</v>
      </c>
      <c r="B2546" s="43" t="s">
        <v>176</v>
      </c>
      <c r="C2546" s="62">
        <f>VLOOKUP(B2546,合并仓明细!$D$2:$F$74,3,0)</f>
        <v>116</v>
      </c>
      <c r="D2546" t="s">
        <v>413</v>
      </c>
      <c r="E2546" s="43" t="s">
        <v>279</v>
      </c>
      <c r="F2546" t="s">
        <v>66</v>
      </c>
      <c r="G2546" s="42">
        <v>362.75</v>
      </c>
      <c r="H2546" s="35">
        <v>0.36275000000000002</v>
      </c>
      <c r="I2546" s="46"/>
      <c r="K2546" s="1"/>
      <c r="L2546" s="37">
        <f>IF(H2546&gt;30,QUOTIENT(H2546,30)*VLOOKUP(D2546,'报价表-配送'!$B$9:$I$13,8,0),0)+IF(AND(MOD(H2546,30)&gt;18,MOD(H2546,30)&lt;=30),1,0)*VLOOKUP(D2546,'报价表-配送'!$B$9:$I$13,8,0)+IF(AND(MOD(H2546,30)&gt;8,MOD(H2546,30)&lt;=18),1*VLOOKUP(D2546,'报价表-配送'!$B$9:$I$13,7,0),0)+IF(AND(MOD(H2546,30)&lt;=8,MOD(H2546,30)&gt;2.5),1,0)*VLOOKUP(D2546,'报价表-配送'!$B$9:$I$13,6,0)+IF(AND(MOD(H2546,30)&lt;=2.5,MOD(H2546,30)&gt;=1.5),1,0)*VLOOKUP(D2546,'报价表-配送'!$B$9:$I$13,5,0)</f>
        <v>0</v>
      </c>
      <c r="M2546" s="39">
        <f>IF(AND(MOD(H2546,30)&lt;1.5,MOD(H2546,30)&gt;=0.5),H2546,0)*VLOOKUP(D2546,'报价表-配送'!$B$9:$I$13,4,0)*1000+IF(AND(MOD(H2546,30)&lt;0.5,MOD(H2546,30)&gt;=0.02),H2546,0)*VLOOKUP(D2546,'报价表-配送'!$B$9:$I$13,3,0)*1000+IF(AND(MOD(H2546,30)&lt;0.02),H2546,0)*VLOOKUP(D2546,'报价表-配送'!$B$9:$I$13,2,0)*1000</f>
        <v>0</v>
      </c>
      <c r="N2546" s="38">
        <f t="shared" si="39"/>
        <v>0</v>
      </c>
    </row>
    <row r="2547" spans="1:14" x14ac:dyDescent="0.25">
      <c r="A2547" s="1" t="s">
        <v>83</v>
      </c>
      <c r="B2547" s="43" t="s">
        <v>176</v>
      </c>
      <c r="C2547" s="62">
        <f>VLOOKUP(B2547,合并仓明细!$D$2:$F$74,3,0)</f>
        <v>116</v>
      </c>
      <c r="D2547" t="s">
        <v>413</v>
      </c>
      <c r="E2547" s="43" t="s">
        <v>347</v>
      </c>
      <c r="F2547" t="s">
        <v>68</v>
      </c>
      <c r="G2547" s="42">
        <v>687.55</v>
      </c>
      <c r="H2547" s="35">
        <v>1.0498799999999999</v>
      </c>
      <c r="I2547" s="46">
        <f>ROUNDUP(H2547/30,0)*VLOOKUP(D2547,'报价表-配送'!$B$9:$I$13,8,0)</f>
        <v>0</v>
      </c>
      <c r="N2547" s="38">
        <f t="shared" si="39"/>
        <v>0</v>
      </c>
    </row>
    <row r="2548" spans="1:14" x14ac:dyDescent="0.25">
      <c r="A2548" s="1" t="s">
        <v>83</v>
      </c>
      <c r="B2548" s="43" t="s">
        <v>176</v>
      </c>
      <c r="C2548" s="62">
        <f>VLOOKUP(B2548,合并仓明细!$D$2:$F$74,3,0)</f>
        <v>116</v>
      </c>
      <c r="D2548" t="s">
        <v>413</v>
      </c>
      <c r="E2548" s="43" t="s">
        <v>347</v>
      </c>
      <c r="F2548" t="s">
        <v>66</v>
      </c>
      <c r="G2548" s="42">
        <v>362.33</v>
      </c>
      <c r="N2548" s="38">
        <f t="shared" si="39"/>
        <v>0</v>
      </c>
    </row>
    <row r="2549" spans="1:14" x14ac:dyDescent="0.25">
      <c r="A2549" s="1" t="s">
        <v>83</v>
      </c>
      <c r="B2549" s="43" t="s">
        <v>176</v>
      </c>
      <c r="C2549" s="62">
        <f>VLOOKUP(B2549,合并仓明细!$D$2:$F$74,3,0)</f>
        <v>116</v>
      </c>
      <c r="D2549" t="s">
        <v>413</v>
      </c>
      <c r="E2549" s="43" t="s">
        <v>280</v>
      </c>
      <c r="F2549" t="s">
        <v>68</v>
      </c>
      <c r="G2549" s="42">
        <v>21.44</v>
      </c>
      <c r="H2549" s="35">
        <v>2.5290000000000003E-2</v>
      </c>
      <c r="I2549" s="46">
        <f>ROUNDUP(H2549/30,0)*VLOOKUP(D2549,'报价表-配送'!$B$9:$I$13,8,0)</f>
        <v>0</v>
      </c>
      <c r="K2549" s="1"/>
      <c r="L2549" s="33"/>
      <c r="M2549" s="1"/>
      <c r="N2549" s="38">
        <f t="shared" si="39"/>
        <v>0</v>
      </c>
    </row>
    <row r="2550" spans="1:14" x14ac:dyDescent="0.25">
      <c r="A2550" s="1" t="s">
        <v>83</v>
      </c>
      <c r="B2550" s="43" t="s">
        <v>176</v>
      </c>
      <c r="C2550" s="62">
        <f>VLOOKUP(B2550,合并仓明细!$D$2:$F$74,3,0)</f>
        <v>116</v>
      </c>
      <c r="D2550" t="s">
        <v>413</v>
      </c>
      <c r="E2550" s="43" t="s">
        <v>280</v>
      </c>
      <c r="F2550" t="s">
        <v>66</v>
      </c>
      <c r="G2550" s="42">
        <v>3.85</v>
      </c>
      <c r="N2550" s="38">
        <f t="shared" si="39"/>
        <v>0</v>
      </c>
    </row>
    <row r="2551" spans="1:14" x14ac:dyDescent="0.25">
      <c r="A2551" s="1" t="s">
        <v>83</v>
      </c>
      <c r="B2551" s="43" t="s">
        <v>176</v>
      </c>
      <c r="C2551" s="62">
        <f>VLOOKUP(B2551,合并仓明细!$D$2:$F$74,3,0)</f>
        <v>116</v>
      </c>
      <c r="D2551" t="s">
        <v>413</v>
      </c>
      <c r="E2551" s="43" t="s">
        <v>281</v>
      </c>
      <c r="F2551" t="s">
        <v>68</v>
      </c>
      <c r="G2551" s="42">
        <v>27.67</v>
      </c>
      <c r="H2551" s="35">
        <v>1.4476999999999998</v>
      </c>
      <c r="I2551" s="46">
        <f>ROUNDUP(H2551/30,0)*VLOOKUP(D2551,'报价表-配送'!$B$9:$I$13,8,0)</f>
        <v>0</v>
      </c>
      <c r="N2551" s="38">
        <f t="shared" si="39"/>
        <v>0</v>
      </c>
    </row>
    <row r="2552" spans="1:14" x14ac:dyDescent="0.25">
      <c r="A2552" s="1" t="s">
        <v>83</v>
      </c>
      <c r="B2552" s="43" t="s">
        <v>176</v>
      </c>
      <c r="C2552" s="62">
        <f>VLOOKUP(B2552,合并仓明细!$D$2:$F$74,3,0)</f>
        <v>116</v>
      </c>
      <c r="D2552" t="s">
        <v>413</v>
      </c>
      <c r="E2552" s="43" t="s">
        <v>281</v>
      </c>
      <c r="F2552" t="s">
        <v>67</v>
      </c>
      <c r="G2552" s="42">
        <v>1091.99</v>
      </c>
      <c r="I2552" s="46"/>
      <c r="K2552" s="1"/>
      <c r="L2552" s="33"/>
      <c r="M2552" s="1"/>
      <c r="N2552" s="38">
        <f t="shared" si="39"/>
        <v>0</v>
      </c>
    </row>
    <row r="2553" spans="1:14" x14ac:dyDescent="0.25">
      <c r="A2553" s="1" t="s">
        <v>83</v>
      </c>
      <c r="B2553" s="43" t="s">
        <v>176</v>
      </c>
      <c r="C2553" s="62">
        <f>VLOOKUP(B2553,合并仓明细!$D$2:$F$74,3,0)</f>
        <v>116</v>
      </c>
      <c r="D2553" t="s">
        <v>413</v>
      </c>
      <c r="E2553" s="43" t="s">
        <v>281</v>
      </c>
      <c r="F2553" t="s">
        <v>66</v>
      </c>
      <c r="G2553" s="42">
        <v>328.03999999999985</v>
      </c>
      <c r="N2553" s="38">
        <f t="shared" si="39"/>
        <v>0</v>
      </c>
    </row>
    <row r="2554" spans="1:14" x14ac:dyDescent="0.25">
      <c r="A2554" s="1" t="s">
        <v>83</v>
      </c>
      <c r="B2554" s="43" t="s">
        <v>176</v>
      </c>
      <c r="C2554" s="62">
        <f>VLOOKUP(B2554,合并仓明细!$D$2:$F$74,3,0)</f>
        <v>116</v>
      </c>
      <c r="D2554" t="s">
        <v>413</v>
      </c>
      <c r="E2554" s="43" t="s">
        <v>339</v>
      </c>
      <c r="F2554" t="s">
        <v>68</v>
      </c>
      <c r="G2554" s="42">
        <v>1.06</v>
      </c>
      <c r="H2554" s="35">
        <v>2.3588800000000001</v>
      </c>
      <c r="I2554" s="46">
        <f>ROUNDUP(H2554/30,0)*VLOOKUP(D2554,'报价表-配送'!$B$9:$I$13,8,0)</f>
        <v>0</v>
      </c>
      <c r="K2554" s="1"/>
      <c r="L2554" s="33"/>
      <c r="M2554" s="1"/>
      <c r="N2554" s="38">
        <f t="shared" si="39"/>
        <v>0</v>
      </c>
    </row>
    <row r="2555" spans="1:14" x14ac:dyDescent="0.25">
      <c r="A2555" s="1" t="s">
        <v>83</v>
      </c>
      <c r="B2555" s="43" t="s">
        <v>176</v>
      </c>
      <c r="C2555" s="62">
        <f>VLOOKUP(B2555,合并仓明细!$D$2:$F$74,3,0)</f>
        <v>116</v>
      </c>
      <c r="D2555" t="s">
        <v>413</v>
      </c>
      <c r="E2555" s="43" t="s">
        <v>339</v>
      </c>
      <c r="F2555" t="s">
        <v>67</v>
      </c>
      <c r="G2555" s="42">
        <v>2294.98</v>
      </c>
      <c r="N2555" s="38">
        <f t="shared" si="39"/>
        <v>0</v>
      </c>
    </row>
    <row r="2556" spans="1:14" x14ac:dyDescent="0.25">
      <c r="A2556" s="1" t="s">
        <v>83</v>
      </c>
      <c r="B2556" s="43" t="s">
        <v>176</v>
      </c>
      <c r="C2556" s="62">
        <f>VLOOKUP(B2556,合并仓明细!$D$2:$F$74,3,0)</f>
        <v>116</v>
      </c>
      <c r="D2556" t="s">
        <v>413</v>
      </c>
      <c r="E2556" s="43" t="s">
        <v>339</v>
      </c>
      <c r="F2556" t="s">
        <v>66</v>
      </c>
      <c r="G2556" s="42">
        <v>62.839999999999996</v>
      </c>
      <c r="N2556" s="38">
        <f t="shared" si="39"/>
        <v>0</v>
      </c>
    </row>
    <row r="2557" spans="1:14" x14ac:dyDescent="0.25">
      <c r="A2557" s="1" t="s">
        <v>83</v>
      </c>
      <c r="B2557" s="43" t="s">
        <v>176</v>
      </c>
      <c r="C2557" s="62">
        <f>VLOOKUP(B2557,合并仓明细!$D$2:$F$74,3,0)</f>
        <v>116</v>
      </c>
      <c r="D2557" t="s">
        <v>413</v>
      </c>
      <c r="E2557" s="43" t="s">
        <v>283</v>
      </c>
      <c r="F2557" t="s">
        <v>66</v>
      </c>
      <c r="G2557" s="42">
        <v>36.799999999999997</v>
      </c>
      <c r="H2557" s="35">
        <v>3.6799999999999999E-2</v>
      </c>
      <c r="I2557" s="46"/>
      <c r="K2557" s="1"/>
      <c r="L2557" s="37">
        <f>IF(H2557&gt;30,QUOTIENT(H2557,30)*VLOOKUP(D2557,'报价表-配送'!$B$9:$I$13,8,0),0)+IF(AND(MOD(H2557,30)&gt;18,MOD(H2557,30)&lt;=30),1,0)*VLOOKUP(D2557,'报价表-配送'!$B$9:$I$13,8,0)+IF(AND(MOD(H2557,30)&gt;8,MOD(H2557,30)&lt;=18),1*VLOOKUP(D2557,'报价表-配送'!$B$9:$I$13,7,0),0)+IF(AND(MOD(H2557,30)&lt;=8,MOD(H2557,30)&gt;2.5),1,0)*VLOOKUP(D2557,'报价表-配送'!$B$9:$I$13,6,0)+IF(AND(MOD(H2557,30)&lt;=2.5,MOD(H2557,30)&gt;=1.5),1,0)*VLOOKUP(D2557,'报价表-配送'!$B$9:$I$13,5,0)</f>
        <v>0</v>
      </c>
      <c r="M2557" s="39">
        <f>IF(AND(MOD(H2557,30)&lt;1.5,MOD(H2557,30)&gt;=0.5),H2557,0)*VLOOKUP(D2557,'报价表-配送'!$B$9:$I$13,4,0)*1000+IF(AND(MOD(H2557,30)&lt;0.5,MOD(H2557,30)&gt;=0.02),H2557,0)*VLOOKUP(D2557,'报价表-配送'!$B$9:$I$13,3,0)*1000+IF(AND(MOD(H2557,30)&lt;0.02),H2557,0)*VLOOKUP(D2557,'报价表-配送'!$B$9:$I$13,2,0)*1000</f>
        <v>0</v>
      </c>
      <c r="N2557" s="38">
        <f t="shared" si="39"/>
        <v>0</v>
      </c>
    </row>
    <row r="2558" spans="1:14" x14ac:dyDescent="0.25">
      <c r="A2558" s="1" t="s">
        <v>83</v>
      </c>
      <c r="B2558" s="43" t="s">
        <v>176</v>
      </c>
      <c r="C2558" s="62">
        <f>VLOOKUP(B2558,合并仓明细!$D$2:$F$74,3,0)</f>
        <v>116</v>
      </c>
      <c r="D2558" t="s">
        <v>413</v>
      </c>
      <c r="E2558" s="43" t="s">
        <v>323</v>
      </c>
      <c r="F2558" t="s">
        <v>66</v>
      </c>
      <c r="G2558" s="42">
        <v>85.22</v>
      </c>
      <c r="H2558" s="35">
        <v>8.5220000000000004E-2</v>
      </c>
      <c r="L2558" s="37">
        <f>IF(H2558&gt;30,QUOTIENT(H2558,30)*VLOOKUP(D2558,'报价表-配送'!$B$9:$I$13,8,0),0)+IF(AND(MOD(H2558,30)&gt;18,MOD(H2558,30)&lt;=30),1,0)*VLOOKUP(D2558,'报价表-配送'!$B$9:$I$13,8,0)+IF(AND(MOD(H2558,30)&gt;8,MOD(H2558,30)&lt;=18),1*VLOOKUP(D2558,'报价表-配送'!$B$9:$I$13,7,0),0)+IF(AND(MOD(H2558,30)&lt;=8,MOD(H2558,30)&gt;2.5),1,0)*VLOOKUP(D2558,'报价表-配送'!$B$9:$I$13,6,0)+IF(AND(MOD(H2558,30)&lt;=2.5,MOD(H2558,30)&gt;=1.5),1,0)*VLOOKUP(D2558,'报价表-配送'!$B$9:$I$13,5,0)</f>
        <v>0</v>
      </c>
      <c r="M2558" s="39">
        <f>IF(AND(MOD(H2558,30)&lt;1.5,MOD(H2558,30)&gt;=0.5),H2558,0)*VLOOKUP(D2558,'报价表-配送'!$B$9:$I$13,4,0)*1000+IF(AND(MOD(H2558,30)&lt;0.5,MOD(H2558,30)&gt;=0.02),H2558,0)*VLOOKUP(D2558,'报价表-配送'!$B$9:$I$13,3,0)*1000+IF(AND(MOD(H2558,30)&lt;0.02),H2558,0)*VLOOKUP(D2558,'报价表-配送'!$B$9:$I$13,2,0)*1000</f>
        <v>0</v>
      </c>
      <c r="N2558" s="38">
        <f t="shared" si="39"/>
        <v>0</v>
      </c>
    </row>
    <row r="2559" spans="1:14" x14ac:dyDescent="0.25">
      <c r="A2559" s="1" t="s">
        <v>83</v>
      </c>
      <c r="B2559" s="43" t="s">
        <v>176</v>
      </c>
      <c r="C2559" s="62">
        <f>VLOOKUP(B2559,合并仓明细!$D$2:$F$74,3,0)</f>
        <v>116</v>
      </c>
      <c r="D2559" t="s">
        <v>413</v>
      </c>
      <c r="E2559" s="43" t="s">
        <v>285</v>
      </c>
      <c r="F2559" t="s">
        <v>67</v>
      </c>
      <c r="G2559" s="42">
        <v>117</v>
      </c>
      <c r="H2559" s="35">
        <v>0.18796000000000002</v>
      </c>
      <c r="I2559" s="38">
        <f>IF(H2559&gt;30,QUOTIENT(H2559,30)*VLOOKUP(D2559,'报价表-配送'!$B$9:$I$13,8,0),0)+IF(AND(MOD(H2559,30)&gt;18,MOD(H2559,30)&lt;=30),1,0)*VLOOKUP(D2559,'报价表-配送'!$B$9:$I$13,8,0)</f>
        <v>0</v>
      </c>
      <c r="J2559" s="38">
        <f>IF(AND(MOD(H2559,30)&gt;8,MOD(H2559,30)&lt;=18),1*VLOOKUP(D2559,'报价表-配送'!$B$9:$I$13,7,0),0)</f>
        <v>0</v>
      </c>
      <c r="K2559" s="38">
        <f>IF(AND(MOD(H2559,30)&lt;=8,MOD(H2559,30)&gt;0),1,0)*VLOOKUP(D2559,'报价表-配送'!$B$9:$I$13,6,0)</f>
        <v>0</v>
      </c>
      <c r="N2559" s="38">
        <f t="shared" si="39"/>
        <v>0</v>
      </c>
    </row>
    <row r="2560" spans="1:14" x14ac:dyDescent="0.25">
      <c r="A2560" s="1" t="s">
        <v>83</v>
      </c>
      <c r="B2560" s="43" t="s">
        <v>176</v>
      </c>
      <c r="C2560" s="62">
        <f>VLOOKUP(B2560,合并仓明细!$D$2:$F$74,3,0)</f>
        <v>116</v>
      </c>
      <c r="D2560" t="s">
        <v>413</v>
      </c>
      <c r="E2560" s="43" t="s">
        <v>285</v>
      </c>
      <c r="F2560" t="s">
        <v>66</v>
      </c>
      <c r="G2560" s="42">
        <v>70.960000000000008</v>
      </c>
      <c r="I2560" s="46"/>
      <c r="K2560" s="1"/>
      <c r="L2560" s="33"/>
      <c r="M2560" s="1"/>
      <c r="N2560" s="38">
        <f t="shared" si="39"/>
        <v>0</v>
      </c>
    </row>
    <row r="2561" spans="1:14" x14ac:dyDescent="0.25">
      <c r="A2561" s="1" t="s">
        <v>83</v>
      </c>
      <c r="B2561" s="43" t="s">
        <v>176</v>
      </c>
      <c r="C2561" s="62">
        <f>VLOOKUP(B2561,合并仓明细!$D$2:$F$74,3,0)</f>
        <v>116</v>
      </c>
      <c r="D2561" t="s">
        <v>413</v>
      </c>
      <c r="E2561" s="43" t="s">
        <v>341</v>
      </c>
      <c r="F2561" t="s">
        <v>68</v>
      </c>
      <c r="G2561" s="42">
        <v>92.26</v>
      </c>
      <c r="H2561" s="35">
        <v>2.0137799999999997</v>
      </c>
      <c r="I2561" s="46">
        <f>ROUNDUP(H2561/30,0)*VLOOKUP(D2561,'报价表-配送'!$B$9:$I$13,8,0)</f>
        <v>0</v>
      </c>
      <c r="N2561" s="38">
        <f t="shared" si="39"/>
        <v>0</v>
      </c>
    </row>
    <row r="2562" spans="1:14" x14ac:dyDescent="0.25">
      <c r="A2562" s="1" t="s">
        <v>83</v>
      </c>
      <c r="B2562" s="43" t="s">
        <v>176</v>
      </c>
      <c r="C2562" s="62">
        <f>VLOOKUP(B2562,合并仓明细!$D$2:$F$74,3,0)</f>
        <v>116</v>
      </c>
      <c r="D2562" t="s">
        <v>413</v>
      </c>
      <c r="E2562" s="43" t="s">
        <v>341</v>
      </c>
      <c r="F2562" t="s">
        <v>67</v>
      </c>
      <c r="G2562" s="42">
        <v>729.21</v>
      </c>
      <c r="N2562" s="38">
        <f t="shared" si="39"/>
        <v>0</v>
      </c>
    </row>
    <row r="2563" spans="1:14" x14ac:dyDescent="0.25">
      <c r="A2563" s="1" t="s">
        <v>83</v>
      </c>
      <c r="B2563" s="43" t="s">
        <v>176</v>
      </c>
      <c r="C2563" s="62">
        <f>VLOOKUP(B2563,合并仓明细!$D$2:$F$74,3,0)</f>
        <v>116</v>
      </c>
      <c r="D2563" t="s">
        <v>413</v>
      </c>
      <c r="E2563" s="43" t="s">
        <v>341</v>
      </c>
      <c r="F2563" t="s">
        <v>66</v>
      </c>
      <c r="G2563" s="42">
        <v>1192.3099999999997</v>
      </c>
      <c r="I2563" s="46"/>
      <c r="K2563" s="1"/>
      <c r="L2563" s="33"/>
      <c r="M2563" s="1"/>
      <c r="N2563" s="38">
        <f t="shared" si="39"/>
        <v>0</v>
      </c>
    </row>
    <row r="2564" spans="1:14" x14ac:dyDescent="0.25">
      <c r="A2564" s="1" t="s">
        <v>83</v>
      </c>
      <c r="B2564" s="43" t="s">
        <v>176</v>
      </c>
      <c r="C2564" s="62">
        <f>VLOOKUP(B2564,合并仓明细!$D$2:$F$74,3,0)</f>
        <v>116</v>
      </c>
      <c r="D2564" t="s">
        <v>413</v>
      </c>
      <c r="E2564" s="43" t="s">
        <v>292</v>
      </c>
      <c r="F2564" t="s">
        <v>67</v>
      </c>
      <c r="G2564" s="42">
        <v>266.99</v>
      </c>
      <c r="H2564" s="35">
        <v>0.27131</v>
      </c>
      <c r="I2564" s="38">
        <f>IF(H2564&gt;30,QUOTIENT(H2564,30)*VLOOKUP(D2564,'报价表-配送'!$B$9:$I$13,8,0),0)+IF(AND(MOD(H2564,30)&gt;18,MOD(H2564,30)&lt;=30),1,0)*VLOOKUP(D2564,'报价表-配送'!$B$9:$I$13,8,0)</f>
        <v>0</v>
      </c>
      <c r="J2564" s="38">
        <f>IF(AND(MOD(H2564,30)&gt;8,MOD(H2564,30)&lt;=18),1*VLOOKUP(D2564,'报价表-配送'!$B$9:$I$13,7,0),0)</f>
        <v>0</v>
      </c>
      <c r="K2564" s="38">
        <f>IF(AND(MOD(H2564,30)&lt;=8,MOD(H2564,30)&gt;0),1,0)*VLOOKUP(D2564,'报价表-配送'!$B$9:$I$13,6,0)</f>
        <v>0</v>
      </c>
      <c r="N2564" s="38">
        <f t="shared" si="39"/>
        <v>0</v>
      </c>
    </row>
    <row r="2565" spans="1:14" x14ac:dyDescent="0.25">
      <c r="A2565" s="1" t="s">
        <v>83</v>
      </c>
      <c r="B2565" s="43" t="s">
        <v>176</v>
      </c>
      <c r="C2565" s="62">
        <f>VLOOKUP(B2565,合并仓明细!$D$2:$F$74,3,0)</f>
        <v>116</v>
      </c>
      <c r="D2565" t="s">
        <v>413</v>
      </c>
      <c r="E2565" s="43" t="s">
        <v>292</v>
      </c>
      <c r="F2565" t="s">
        <v>66</v>
      </c>
      <c r="G2565" s="42">
        <v>4.32</v>
      </c>
      <c r="N2565" s="38">
        <f t="shared" si="39"/>
        <v>0</v>
      </c>
    </row>
    <row r="2566" spans="1:14" x14ac:dyDescent="0.25">
      <c r="A2566" s="1" t="s">
        <v>83</v>
      </c>
      <c r="B2566" s="43" t="s">
        <v>176</v>
      </c>
      <c r="C2566" s="62">
        <f>VLOOKUP(B2566,合并仓明细!$D$2:$F$74,3,0)</f>
        <v>116</v>
      </c>
      <c r="D2566" t="s">
        <v>413</v>
      </c>
      <c r="E2566" s="43" t="s">
        <v>359</v>
      </c>
      <c r="F2566" t="s">
        <v>67</v>
      </c>
      <c r="G2566" s="42">
        <v>211.06</v>
      </c>
      <c r="H2566" s="35">
        <v>0.27931</v>
      </c>
      <c r="I2566" s="38">
        <f>IF(H2566&gt;30,QUOTIENT(H2566,30)*VLOOKUP(D2566,'报价表-配送'!$B$9:$I$13,8,0),0)+IF(AND(MOD(H2566,30)&gt;18,MOD(H2566,30)&lt;=30),1,0)*VLOOKUP(D2566,'报价表-配送'!$B$9:$I$13,8,0)</f>
        <v>0</v>
      </c>
      <c r="J2566" s="38">
        <f>IF(AND(MOD(H2566,30)&gt;8,MOD(H2566,30)&lt;=18),1*VLOOKUP(D2566,'报价表-配送'!$B$9:$I$13,7,0),0)</f>
        <v>0</v>
      </c>
      <c r="K2566" s="38">
        <f>IF(AND(MOD(H2566,30)&lt;=8,MOD(H2566,30)&gt;0),1,0)*VLOOKUP(D2566,'报价表-配送'!$B$9:$I$13,6,0)</f>
        <v>0</v>
      </c>
      <c r="L2566" s="37"/>
      <c r="M2566" s="37"/>
      <c r="N2566" s="38">
        <f t="shared" si="39"/>
        <v>0</v>
      </c>
    </row>
    <row r="2567" spans="1:14" x14ac:dyDescent="0.25">
      <c r="A2567" s="1" t="s">
        <v>83</v>
      </c>
      <c r="B2567" s="43" t="s">
        <v>176</v>
      </c>
      <c r="C2567" s="62">
        <f>VLOOKUP(B2567,合并仓明细!$D$2:$F$74,3,0)</f>
        <v>116</v>
      </c>
      <c r="D2567" t="s">
        <v>413</v>
      </c>
      <c r="E2567" s="43" t="s">
        <v>359</v>
      </c>
      <c r="F2567" t="s">
        <v>66</v>
      </c>
      <c r="G2567" s="42">
        <v>68.249999999999986</v>
      </c>
      <c r="N2567" s="38">
        <f t="shared" si="39"/>
        <v>0</v>
      </c>
    </row>
    <row r="2568" spans="1:14" x14ac:dyDescent="0.25">
      <c r="A2568" s="1" t="s">
        <v>83</v>
      </c>
      <c r="B2568" s="43" t="s">
        <v>176</v>
      </c>
      <c r="C2568" s="62">
        <f>VLOOKUP(B2568,合并仓明细!$D$2:$F$74,3,0)</f>
        <v>116</v>
      </c>
      <c r="D2568" t="s">
        <v>413</v>
      </c>
      <c r="E2568" s="43" t="s">
        <v>358</v>
      </c>
      <c r="F2568" t="s">
        <v>67</v>
      </c>
      <c r="G2568" s="42">
        <v>254.57</v>
      </c>
      <c r="H2568" s="35">
        <v>0.26523000000000002</v>
      </c>
      <c r="I2568" s="38">
        <f>IF(H2568&gt;30,QUOTIENT(H2568,30)*VLOOKUP(D2568,'报价表-配送'!$B$9:$I$13,8,0),0)+IF(AND(MOD(H2568,30)&gt;18,MOD(H2568,30)&lt;=30),1,0)*VLOOKUP(D2568,'报价表-配送'!$B$9:$I$13,8,0)</f>
        <v>0</v>
      </c>
      <c r="J2568" s="38">
        <f>IF(AND(MOD(H2568,30)&gt;8,MOD(H2568,30)&lt;=18),1*VLOOKUP(D2568,'报价表-配送'!$B$9:$I$13,7,0),0)</f>
        <v>0</v>
      </c>
      <c r="K2568" s="38">
        <f>IF(AND(MOD(H2568,30)&lt;=8,MOD(H2568,30)&gt;0),1,0)*VLOOKUP(D2568,'报价表-配送'!$B$9:$I$13,6,0)</f>
        <v>0</v>
      </c>
      <c r="L2568" s="37"/>
      <c r="M2568" s="37"/>
      <c r="N2568" s="38">
        <f t="shared" si="39"/>
        <v>0</v>
      </c>
    </row>
    <row r="2569" spans="1:14" x14ac:dyDescent="0.25">
      <c r="A2569" s="1" t="s">
        <v>83</v>
      </c>
      <c r="B2569" s="43" t="s">
        <v>176</v>
      </c>
      <c r="C2569" s="62">
        <f>VLOOKUP(B2569,合并仓明细!$D$2:$F$74,3,0)</f>
        <v>116</v>
      </c>
      <c r="D2569" t="s">
        <v>413</v>
      </c>
      <c r="E2569" s="43" t="s">
        <v>358</v>
      </c>
      <c r="F2569" t="s">
        <v>66</v>
      </c>
      <c r="G2569" s="42">
        <v>10.66</v>
      </c>
      <c r="N2569" s="38">
        <f t="shared" si="39"/>
        <v>0</v>
      </c>
    </row>
    <row r="2570" spans="1:14" x14ac:dyDescent="0.25">
      <c r="A2570" s="1" t="s">
        <v>83</v>
      </c>
      <c r="B2570" s="43" t="s">
        <v>176</v>
      </c>
      <c r="C2570" s="62">
        <f>VLOOKUP(B2570,合并仓明细!$D$2:$F$74,3,0)</f>
        <v>116</v>
      </c>
      <c r="D2570" t="s">
        <v>413</v>
      </c>
      <c r="E2570" s="43" t="s">
        <v>370</v>
      </c>
      <c r="F2570" t="s">
        <v>66</v>
      </c>
      <c r="G2570" s="42">
        <v>51.150000000000006</v>
      </c>
      <c r="H2570" s="35">
        <v>5.1150000000000008E-2</v>
      </c>
      <c r="I2570" s="46"/>
      <c r="K2570" s="1"/>
      <c r="L2570" s="37">
        <f>IF(H2570&gt;30,QUOTIENT(H2570,30)*VLOOKUP(D2570,'报价表-配送'!$B$9:$I$13,8,0),0)+IF(AND(MOD(H2570,30)&gt;18,MOD(H2570,30)&lt;=30),1,0)*VLOOKUP(D2570,'报价表-配送'!$B$9:$I$13,8,0)+IF(AND(MOD(H2570,30)&gt;8,MOD(H2570,30)&lt;=18),1*VLOOKUP(D2570,'报价表-配送'!$B$9:$I$13,7,0),0)+IF(AND(MOD(H2570,30)&lt;=8,MOD(H2570,30)&gt;2.5),1,0)*VLOOKUP(D2570,'报价表-配送'!$B$9:$I$13,6,0)+IF(AND(MOD(H2570,30)&lt;=2.5,MOD(H2570,30)&gt;=1.5),1,0)*VLOOKUP(D2570,'报价表-配送'!$B$9:$I$13,5,0)</f>
        <v>0</v>
      </c>
      <c r="M2570" s="39">
        <f>IF(AND(MOD(H2570,30)&lt;1.5,MOD(H2570,30)&gt;=0.5),H2570,0)*VLOOKUP(D2570,'报价表-配送'!$B$9:$I$13,4,0)*1000+IF(AND(MOD(H2570,30)&lt;0.5,MOD(H2570,30)&gt;=0.02),H2570,0)*VLOOKUP(D2570,'报价表-配送'!$B$9:$I$13,3,0)*1000+IF(AND(MOD(H2570,30)&lt;0.02),H2570,0)*VLOOKUP(D2570,'报价表-配送'!$B$9:$I$13,2,0)*1000</f>
        <v>0</v>
      </c>
      <c r="N2570" s="38">
        <f t="shared" si="39"/>
        <v>0</v>
      </c>
    </row>
    <row r="2571" spans="1:14" x14ac:dyDescent="0.25">
      <c r="A2571" s="1" t="s">
        <v>83</v>
      </c>
      <c r="B2571" s="43" t="s">
        <v>176</v>
      </c>
      <c r="C2571" s="62">
        <f>VLOOKUP(B2571,合并仓明细!$D$2:$F$74,3,0)</f>
        <v>116</v>
      </c>
      <c r="D2571" t="s">
        <v>413</v>
      </c>
      <c r="E2571" s="43" t="s">
        <v>366</v>
      </c>
      <c r="F2571" t="s">
        <v>68</v>
      </c>
      <c r="G2571" s="42">
        <v>1077.6199999999999</v>
      </c>
      <c r="H2571" s="35">
        <v>5.9897399999999994</v>
      </c>
      <c r="I2571" s="46">
        <f>ROUNDUP(H2571/30,0)*VLOOKUP(D2571,'报价表-配送'!$B$9:$I$13,8,0)</f>
        <v>0</v>
      </c>
      <c r="N2571" s="38">
        <f t="shared" si="39"/>
        <v>0</v>
      </c>
    </row>
    <row r="2572" spans="1:14" x14ac:dyDescent="0.25">
      <c r="A2572" s="1" t="s">
        <v>83</v>
      </c>
      <c r="B2572" s="43" t="s">
        <v>176</v>
      </c>
      <c r="C2572" s="62">
        <f>VLOOKUP(B2572,合并仓明细!$D$2:$F$74,3,0)</f>
        <v>116</v>
      </c>
      <c r="D2572" t="s">
        <v>413</v>
      </c>
      <c r="E2572" s="43" t="s">
        <v>366</v>
      </c>
      <c r="F2572" t="s">
        <v>67</v>
      </c>
      <c r="G2572" s="42">
        <v>4390.12</v>
      </c>
      <c r="N2572" s="38">
        <f t="shared" si="39"/>
        <v>0</v>
      </c>
    </row>
    <row r="2573" spans="1:14" x14ac:dyDescent="0.25">
      <c r="A2573" s="1" t="s">
        <v>83</v>
      </c>
      <c r="B2573" s="43" t="s">
        <v>176</v>
      </c>
      <c r="C2573" s="62">
        <f>VLOOKUP(B2573,合并仓明细!$D$2:$F$74,3,0)</f>
        <v>116</v>
      </c>
      <c r="D2573" t="s">
        <v>413</v>
      </c>
      <c r="E2573" s="43" t="s">
        <v>366</v>
      </c>
      <c r="F2573" t="s">
        <v>66</v>
      </c>
      <c r="G2573" s="42">
        <v>522.00000000000011</v>
      </c>
      <c r="I2573" s="46"/>
      <c r="K2573" s="1"/>
      <c r="L2573" s="33"/>
      <c r="M2573" s="1"/>
      <c r="N2573" s="38">
        <f t="shared" si="39"/>
        <v>0</v>
      </c>
    </row>
    <row r="2574" spans="1:14" x14ac:dyDescent="0.25">
      <c r="A2574" s="1" t="s">
        <v>83</v>
      </c>
      <c r="B2574" s="43" t="s">
        <v>176</v>
      </c>
      <c r="C2574" s="62">
        <f>VLOOKUP(B2574,合并仓明细!$D$2:$F$74,3,0)</f>
        <v>116</v>
      </c>
      <c r="D2574" t="s">
        <v>413</v>
      </c>
      <c r="E2574" s="43" t="s">
        <v>353</v>
      </c>
      <c r="F2574" t="s">
        <v>68</v>
      </c>
      <c r="G2574" s="42">
        <v>77.7</v>
      </c>
      <c r="H2574" s="35">
        <v>0.64935999999999994</v>
      </c>
      <c r="I2574" s="46">
        <f>ROUNDUP(H2574/30,0)*VLOOKUP(D2574,'报价表-配送'!$B$9:$I$13,8,0)</f>
        <v>0</v>
      </c>
      <c r="N2574" s="38">
        <f t="shared" si="39"/>
        <v>0</v>
      </c>
    </row>
    <row r="2575" spans="1:14" x14ac:dyDescent="0.25">
      <c r="A2575" s="1" t="s">
        <v>83</v>
      </c>
      <c r="B2575" s="43" t="s">
        <v>176</v>
      </c>
      <c r="C2575" s="62">
        <f>VLOOKUP(B2575,合并仓明细!$D$2:$F$74,3,0)</f>
        <v>116</v>
      </c>
      <c r="D2575" t="s">
        <v>413</v>
      </c>
      <c r="E2575" s="43" t="s">
        <v>353</v>
      </c>
      <c r="F2575" t="s">
        <v>67</v>
      </c>
      <c r="G2575" s="42">
        <v>237.06</v>
      </c>
      <c r="N2575" s="38">
        <f t="shared" si="39"/>
        <v>0</v>
      </c>
    </row>
    <row r="2576" spans="1:14" x14ac:dyDescent="0.25">
      <c r="A2576" s="1" t="s">
        <v>83</v>
      </c>
      <c r="B2576" s="43" t="s">
        <v>176</v>
      </c>
      <c r="C2576" s="62">
        <f>VLOOKUP(B2576,合并仓明细!$D$2:$F$74,3,0)</f>
        <v>116</v>
      </c>
      <c r="D2576" t="s">
        <v>413</v>
      </c>
      <c r="E2576" s="43" t="s">
        <v>353</v>
      </c>
      <c r="F2576" t="s">
        <v>66</v>
      </c>
      <c r="G2576" s="42">
        <v>334.59999999999997</v>
      </c>
      <c r="I2576" s="46"/>
      <c r="K2576" s="1"/>
      <c r="L2576" s="33"/>
      <c r="M2576" s="1"/>
      <c r="N2576" s="38">
        <f t="shared" si="39"/>
        <v>0</v>
      </c>
    </row>
    <row r="2577" spans="1:14" x14ac:dyDescent="0.25">
      <c r="A2577" s="1" t="s">
        <v>83</v>
      </c>
      <c r="B2577" s="43" t="s">
        <v>176</v>
      </c>
      <c r="C2577" s="62">
        <f>VLOOKUP(B2577,合并仓明细!$D$2:$F$74,3,0)</f>
        <v>116</v>
      </c>
      <c r="D2577" t="s">
        <v>413</v>
      </c>
      <c r="E2577" s="43" t="s">
        <v>249</v>
      </c>
      <c r="F2577" t="s">
        <v>66</v>
      </c>
      <c r="G2577" s="42">
        <v>0.8</v>
      </c>
      <c r="H2577" s="35">
        <v>8.0000000000000004E-4</v>
      </c>
      <c r="L2577" s="37">
        <f>IF(H2577&gt;30,QUOTIENT(H2577,30)*VLOOKUP(D2577,'报价表-配送'!$B$9:$I$13,8,0),0)+IF(AND(MOD(H2577,30)&gt;18,MOD(H2577,30)&lt;=30),1,0)*VLOOKUP(D2577,'报价表-配送'!$B$9:$I$13,8,0)+IF(AND(MOD(H2577,30)&gt;8,MOD(H2577,30)&lt;=18),1*VLOOKUP(D2577,'报价表-配送'!$B$9:$I$13,7,0),0)+IF(AND(MOD(H2577,30)&lt;=8,MOD(H2577,30)&gt;2.5),1,0)*VLOOKUP(D2577,'报价表-配送'!$B$9:$I$13,6,0)+IF(AND(MOD(H2577,30)&lt;=2.5,MOD(H2577,30)&gt;=1.5),1,0)*VLOOKUP(D2577,'报价表-配送'!$B$9:$I$13,5,0)</f>
        <v>0</v>
      </c>
      <c r="M2577" s="39">
        <f>IF(AND(MOD(H2577,30)&lt;1.5,MOD(H2577,30)&gt;=0.5),H2577,0)*VLOOKUP(D2577,'报价表-配送'!$B$9:$I$13,4,0)*1000+IF(AND(MOD(H2577,30)&lt;0.5,MOD(H2577,30)&gt;=0.02),H2577,0)*VLOOKUP(D2577,'报价表-配送'!$B$9:$I$13,3,0)*1000+IF(AND(MOD(H2577,30)&lt;0.02),H2577,0)*VLOOKUP(D2577,'报价表-配送'!$B$9:$I$13,2,0)*1000</f>
        <v>0</v>
      </c>
      <c r="N2577" s="38">
        <f t="shared" si="39"/>
        <v>0</v>
      </c>
    </row>
    <row r="2578" spans="1:14" x14ac:dyDescent="0.25">
      <c r="A2578" s="1" t="s">
        <v>83</v>
      </c>
      <c r="B2578" s="43" t="s">
        <v>176</v>
      </c>
      <c r="C2578" s="62">
        <f>VLOOKUP(B2578,合并仓明细!$D$2:$F$74,3,0)</f>
        <v>116</v>
      </c>
      <c r="D2578" t="s">
        <v>413</v>
      </c>
      <c r="E2578" s="43" t="s">
        <v>326</v>
      </c>
      <c r="F2578" t="s">
        <v>68</v>
      </c>
      <c r="G2578" s="42">
        <v>20.22</v>
      </c>
      <c r="H2578" s="35">
        <v>0.66030999999999995</v>
      </c>
      <c r="I2578" s="46">
        <f>ROUNDUP(H2578/30,0)*VLOOKUP(D2578,'报价表-配送'!$B$9:$I$13,8,0)</f>
        <v>0</v>
      </c>
      <c r="K2578" s="1"/>
      <c r="L2578" s="33"/>
      <c r="M2578" s="1"/>
      <c r="N2578" s="38">
        <f t="shared" si="39"/>
        <v>0</v>
      </c>
    </row>
    <row r="2579" spans="1:14" x14ac:dyDescent="0.25">
      <c r="A2579" s="1" t="s">
        <v>83</v>
      </c>
      <c r="B2579" s="43" t="s">
        <v>176</v>
      </c>
      <c r="C2579" s="62">
        <f>VLOOKUP(B2579,合并仓明细!$D$2:$F$74,3,0)</f>
        <v>116</v>
      </c>
      <c r="D2579" t="s">
        <v>413</v>
      </c>
      <c r="E2579" s="43" t="s">
        <v>326</v>
      </c>
      <c r="F2579" t="s">
        <v>67</v>
      </c>
      <c r="G2579" s="42">
        <v>328.64</v>
      </c>
      <c r="N2579" s="38">
        <f t="shared" si="39"/>
        <v>0</v>
      </c>
    </row>
    <row r="2580" spans="1:14" x14ac:dyDescent="0.25">
      <c r="A2580" s="1" t="s">
        <v>83</v>
      </c>
      <c r="B2580" s="43" t="s">
        <v>176</v>
      </c>
      <c r="C2580" s="62">
        <f>VLOOKUP(B2580,合并仓明细!$D$2:$F$74,3,0)</f>
        <v>116</v>
      </c>
      <c r="D2580" t="s">
        <v>413</v>
      </c>
      <c r="E2580" s="43" t="s">
        <v>326</v>
      </c>
      <c r="F2580" t="s">
        <v>66</v>
      </c>
      <c r="G2580" s="42">
        <v>311.45</v>
      </c>
      <c r="N2580" s="38">
        <f t="shared" si="39"/>
        <v>0</v>
      </c>
    </row>
    <row r="2581" spans="1:14" x14ac:dyDescent="0.25">
      <c r="A2581" s="1" t="s">
        <v>83</v>
      </c>
      <c r="B2581" s="43" t="s">
        <v>176</v>
      </c>
      <c r="C2581" s="62">
        <f>VLOOKUP(B2581,合并仓明细!$D$2:$F$74,3,0)</f>
        <v>116</v>
      </c>
      <c r="D2581" t="s">
        <v>413</v>
      </c>
      <c r="E2581" s="43" t="s">
        <v>298</v>
      </c>
      <c r="F2581" t="s">
        <v>67</v>
      </c>
      <c r="G2581" s="42">
        <v>17.329999999999998</v>
      </c>
      <c r="H2581" s="35">
        <v>1.7329999999999998E-2</v>
      </c>
      <c r="I2581" s="38">
        <f>IF(H2581&gt;30,QUOTIENT(H2581,30)*VLOOKUP(D2581,'报价表-配送'!$B$9:$I$13,8,0),0)+IF(AND(MOD(H2581,30)&gt;18,MOD(H2581,30)&lt;=30),1,0)*VLOOKUP(D2581,'报价表-配送'!$B$9:$I$13,8,0)</f>
        <v>0</v>
      </c>
      <c r="J2581" s="38">
        <f>IF(AND(MOD(H2581,30)&gt;8,MOD(H2581,30)&lt;=18),1*VLOOKUP(D2581,'报价表-配送'!$B$9:$I$13,7,0),0)</f>
        <v>0</v>
      </c>
      <c r="K2581" s="38">
        <f>IF(AND(MOD(H2581,30)&lt;=8,MOD(H2581,30)&gt;0),1,0)*VLOOKUP(D2581,'报价表-配送'!$B$9:$I$13,6,0)</f>
        <v>0</v>
      </c>
      <c r="L2581" s="33"/>
      <c r="M2581" s="1"/>
      <c r="N2581" s="38">
        <f t="shared" si="39"/>
        <v>0</v>
      </c>
    </row>
    <row r="2582" spans="1:14" x14ac:dyDescent="0.25">
      <c r="A2582" s="1" t="s">
        <v>83</v>
      </c>
      <c r="B2582" s="43" t="s">
        <v>176</v>
      </c>
      <c r="C2582" s="62">
        <f>VLOOKUP(B2582,合并仓明细!$D$2:$F$74,3,0)</f>
        <v>116</v>
      </c>
      <c r="D2582" t="s">
        <v>413</v>
      </c>
      <c r="E2582" s="43" t="s">
        <v>357</v>
      </c>
      <c r="F2582" t="s">
        <v>66</v>
      </c>
      <c r="G2582" s="42">
        <v>32.57</v>
      </c>
      <c r="H2582" s="35">
        <v>3.2570000000000002E-2</v>
      </c>
      <c r="L2582" s="37">
        <f>IF(H2582&gt;30,QUOTIENT(H2582,30)*VLOOKUP(D2582,'报价表-配送'!$B$9:$I$13,8,0),0)+IF(AND(MOD(H2582,30)&gt;18,MOD(H2582,30)&lt;=30),1,0)*VLOOKUP(D2582,'报价表-配送'!$B$9:$I$13,8,0)+IF(AND(MOD(H2582,30)&gt;8,MOD(H2582,30)&lt;=18),1*VLOOKUP(D2582,'报价表-配送'!$B$9:$I$13,7,0),0)+IF(AND(MOD(H2582,30)&lt;=8,MOD(H2582,30)&gt;2.5),1,0)*VLOOKUP(D2582,'报价表-配送'!$B$9:$I$13,6,0)+IF(AND(MOD(H2582,30)&lt;=2.5,MOD(H2582,30)&gt;=1.5),1,0)*VLOOKUP(D2582,'报价表-配送'!$B$9:$I$13,5,0)</f>
        <v>0</v>
      </c>
      <c r="M2582" s="39">
        <f>IF(AND(MOD(H2582,30)&lt;1.5,MOD(H2582,30)&gt;=0.5),H2582,0)*VLOOKUP(D2582,'报价表-配送'!$B$9:$I$13,4,0)*1000+IF(AND(MOD(H2582,30)&lt;0.5,MOD(H2582,30)&gt;=0.02),H2582,0)*VLOOKUP(D2582,'报价表-配送'!$B$9:$I$13,3,0)*1000+IF(AND(MOD(H2582,30)&lt;0.02),H2582,0)*VLOOKUP(D2582,'报价表-配送'!$B$9:$I$13,2,0)*1000</f>
        <v>0</v>
      </c>
      <c r="N2582" s="38">
        <f t="shared" si="39"/>
        <v>0</v>
      </c>
    </row>
    <row r="2583" spans="1:14" x14ac:dyDescent="0.25">
      <c r="A2583" s="1" t="s">
        <v>83</v>
      </c>
      <c r="B2583" s="43" t="s">
        <v>176</v>
      </c>
      <c r="C2583" s="62">
        <f>VLOOKUP(B2583,合并仓明细!$D$2:$F$74,3,0)</f>
        <v>116</v>
      </c>
      <c r="D2583" t="s">
        <v>413</v>
      </c>
      <c r="E2583" s="43" t="s">
        <v>320</v>
      </c>
      <c r="F2583" t="s">
        <v>67</v>
      </c>
      <c r="G2583" s="42">
        <v>860.3</v>
      </c>
      <c r="H2583" s="35">
        <v>0.9148099999999999</v>
      </c>
      <c r="I2583" s="38">
        <f>IF(H2583&gt;30,QUOTIENT(H2583,30)*VLOOKUP(D2583,'报价表-配送'!$B$9:$I$13,8,0),0)+IF(AND(MOD(H2583,30)&gt;18,MOD(H2583,30)&lt;=30),1,0)*VLOOKUP(D2583,'报价表-配送'!$B$9:$I$13,8,0)</f>
        <v>0</v>
      </c>
      <c r="J2583" s="38">
        <f>IF(AND(MOD(H2583,30)&gt;8,MOD(H2583,30)&lt;=18),1*VLOOKUP(D2583,'报价表-配送'!$B$9:$I$13,7,0),0)</f>
        <v>0</v>
      </c>
      <c r="K2583" s="38">
        <f>IF(AND(MOD(H2583,30)&lt;=8,MOD(H2583,30)&gt;0),1,0)*VLOOKUP(D2583,'报价表-配送'!$B$9:$I$13,6,0)</f>
        <v>0</v>
      </c>
      <c r="N2583" s="38">
        <f t="shared" si="39"/>
        <v>0</v>
      </c>
    </row>
    <row r="2584" spans="1:14" x14ac:dyDescent="0.25">
      <c r="A2584" s="1" t="s">
        <v>83</v>
      </c>
      <c r="B2584" s="43" t="s">
        <v>176</v>
      </c>
      <c r="C2584" s="62">
        <f>VLOOKUP(B2584,合并仓明细!$D$2:$F$74,3,0)</f>
        <v>116</v>
      </c>
      <c r="D2584" t="s">
        <v>413</v>
      </c>
      <c r="E2584" s="43" t="s">
        <v>320</v>
      </c>
      <c r="F2584" t="s">
        <v>66</v>
      </c>
      <c r="G2584" s="42">
        <v>54.509999999999991</v>
      </c>
      <c r="I2584" s="46"/>
      <c r="K2584" s="1"/>
      <c r="L2584" s="33"/>
      <c r="M2584" s="1"/>
      <c r="N2584" s="38">
        <f t="shared" si="39"/>
        <v>0</v>
      </c>
    </row>
    <row r="2585" spans="1:14" x14ac:dyDescent="0.25">
      <c r="A2585" s="1" t="s">
        <v>83</v>
      </c>
      <c r="B2585" s="43" t="s">
        <v>176</v>
      </c>
      <c r="C2585" s="62">
        <f>VLOOKUP(B2585,合并仓明细!$D$2:$F$74,3,0)</f>
        <v>116</v>
      </c>
      <c r="D2585" t="s">
        <v>413</v>
      </c>
      <c r="E2585" s="43" t="s">
        <v>301</v>
      </c>
      <c r="F2585" t="s">
        <v>66</v>
      </c>
      <c r="G2585" s="42">
        <v>4.5</v>
      </c>
      <c r="H2585" s="35">
        <v>4.4999999999999997E-3</v>
      </c>
      <c r="L2585" s="37">
        <f>IF(H2585&gt;30,QUOTIENT(H2585,30)*VLOOKUP(D2585,'报价表-配送'!$B$9:$I$13,8,0),0)+IF(AND(MOD(H2585,30)&gt;18,MOD(H2585,30)&lt;=30),1,0)*VLOOKUP(D2585,'报价表-配送'!$B$9:$I$13,8,0)+IF(AND(MOD(H2585,30)&gt;8,MOD(H2585,30)&lt;=18),1*VLOOKUP(D2585,'报价表-配送'!$B$9:$I$13,7,0),0)+IF(AND(MOD(H2585,30)&lt;=8,MOD(H2585,30)&gt;2.5),1,0)*VLOOKUP(D2585,'报价表-配送'!$B$9:$I$13,6,0)+IF(AND(MOD(H2585,30)&lt;=2.5,MOD(H2585,30)&gt;=1.5),1,0)*VLOOKUP(D2585,'报价表-配送'!$B$9:$I$13,5,0)</f>
        <v>0</v>
      </c>
      <c r="M2585" s="39">
        <f>IF(AND(MOD(H2585,30)&lt;1.5,MOD(H2585,30)&gt;=0.5),H2585,0)*VLOOKUP(D2585,'报价表-配送'!$B$9:$I$13,4,0)*1000+IF(AND(MOD(H2585,30)&lt;0.5,MOD(H2585,30)&gt;=0.02),H2585,0)*VLOOKUP(D2585,'报价表-配送'!$B$9:$I$13,3,0)*1000+IF(AND(MOD(H2585,30)&lt;0.02),H2585,0)*VLOOKUP(D2585,'报价表-配送'!$B$9:$I$13,2,0)*1000</f>
        <v>0</v>
      </c>
      <c r="N2585" s="38">
        <f t="shared" si="39"/>
        <v>0</v>
      </c>
    </row>
    <row r="2586" spans="1:14" x14ac:dyDescent="0.25">
      <c r="A2586" s="1" t="s">
        <v>83</v>
      </c>
      <c r="B2586" s="43" t="s">
        <v>176</v>
      </c>
      <c r="C2586" s="62">
        <f>VLOOKUP(B2586,合并仓明细!$D$2:$F$74,3,0)</f>
        <v>116</v>
      </c>
      <c r="D2586" t="s">
        <v>413</v>
      </c>
      <c r="E2586" s="43" t="s">
        <v>355</v>
      </c>
      <c r="F2586" t="s">
        <v>68</v>
      </c>
      <c r="G2586" s="42">
        <v>25.54</v>
      </c>
      <c r="H2586" s="35">
        <v>0.13183</v>
      </c>
      <c r="I2586" s="46">
        <f>ROUNDUP(H2586/30,0)*VLOOKUP(D2586,'报价表-配送'!$B$9:$I$13,8,0)</f>
        <v>0</v>
      </c>
      <c r="N2586" s="38">
        <f t="shared" si="39"/>
        <v>0</v>
      </c>
    </row>
    <row r="2587" spans="1:14" x14ac:dyDescent="0.25">
      <c r="A2587" s="1" t="s">
        <v>83</v>
      </c>
      <c r="B2587" s="43" t="s">
        <v>176</v>
      </c>
      <c r="C2587" s="62">
        <f>VLOOKUP(B2587,合并仓明细!$D$2:$F$74,3,0)</f>
        <v>116</v>
      </c>
      <c r="D2587" t="s">
        <v>413</v>
      </c>
      <c r="E2587" s="43" t="s">
        <v>355</v>
      </c>
      <c r="F2587" t="s">
        <v>66</v>
      </c>
      <c r="G2587" s="42">
        <v>106.29</v>
      </c>
      <c r="I2587" s="46"/>
      <c r="K2587" s="1"/>
      <c r="L2587" s="33"/>
      <c r="M2587" s="1"/>
      <c r="N2587" s="38">
        <f t="shared" si="39"/>
        <v>0</v>
      </c>
    </row>
    <row r="2588" spans="1:14" x14ac:dyDescent="0.25">
      <c r="A2588" s="1" t="s">
        <v>83</v>
      </c>
      <c r="B2588" s="43" t="s">
        <v>176</v>
      </c>
      <c r="C2588" s="62">
        <f>VLOOKUP(B2588,合并仓明细!$D$2:$F$74,3,0)</f>
        <v>116</v>
      </c>
      <c r="D2588" t="s">
        <v>413</v>
      </c>
      <c r="E2588" s="43" t="s">
        <v>304</v>
      </c>
      <c r="F2588" t="s">
        <v>68</v>
      </c>
      <c r="G2588" s="42">
        <v>5.7</v>
      </c>
      <c r="H2588" s="35">
        <v>0.26831999999999995</v>
      </c>
      <c r="I2588" s="46">
        <f>ROUNDUP(H2588/30,0)*VLOOKUP(D2588,'报价表-配送'!$B$9:$I$13,8,0)</f>
        <v>0</v>
      </c>
      <c r="N2588" s="38">
        <f t="shared" si="39"/>
        <v>0</v>
      </c>
    </row>
    <row r="2589" spans="1:14" x14ac:dyDescent="0.25">
      <c r="A2589" s="1" t="s">
        <v>83</v>
      </c>
      <c r="B2589" s="43" t="s">
        <v>176</v>
      </c>
      <c r="C2589" s="62">
        <f>VLOOKUP(B2589,合并仓明细!$D$2:$F$74,3,0)</f>
        <v>116</v>
      </c>
      <c r="D2589" t="s">
        <v>413</v>
      </c>
      <c r="E2589" s="43" t="s">
        <v>304</v>
      </c>
      <c r="F2589" t="s">
        <v>67</v>
      </c>
      <c r="G2589" s="42">
        <v>4.8099999999999996</v>
      </c>
      <c r="I2589" s="52"/>
      <c r="J2589" s="52"/>
      <c r="K2589" s="52"/>
      <c r="L2589" s="37"/>
      <c r="M2589" s="37"/>
      <c r="N2589" s="38">
        <f t="shared" si="39"/>
        <v>0</v>
      </c>
    </row>
    <row r="2590" spans="1:14" x14ac:dyDescent="0.25">
      <c r="A2590" s="1" t="s">
        <v>83</v>
      </c>
      <c r="B2590" s="43" t="s">
        <v>176</v>
      </c>
      <c r="C2590" s="62">
        <f>VLOOKUP(B2590,合并仓明细!$D$2:$F$74,3,0)</f>
        <v>116</v>
      </c>
      <c r="D2590" t="s">
        <v>413</v>
      </c>
      <c r="E2590" s="43" t="s">
        <v>304</v>
      </c>
      <c r="F2590" t="s">
        <v>66</v>
      </c>
      <c r="G2590" s="42">
        <v>257.80999999999995</v>
      </c>
      <c r="I2590" s="46"/>
      <c r="K2590" s="1"/>
      <c r="L2590" s="33"/>
      <c r="M2590" s="1"/>
      <c r="N2590" s="38">
        <f t="shared" si="39"/>
        <v>0</v>
      </c>
    </row>
    <row r="2591" spans="1:14" x14ac:dyDescent="0.25">
      <c r="A2591" s="1" t="s">
        <v>83</v>
      </c>
      <c r="B2591" s="43" t="s">
        <v>176</v>
      </c>
      <c r="C2591" s="62">
        <f>VLOOKUP(B2591,合并仓明细!$D$2:$F$74,3,0)</f>
        <v>116</v>
      </c>
      <c r="D2591" t="s">
        <v>413</v>
      </c>
      <c r="E2591" s="43" t="s">
        <v>356</v>
      </c>
      <c r="F2591" t="s">
        <v>68</v>
      </c>
      <c r="G2591" s="42">
        <v>1202.5</v>
      </c>
      <c r="H2591" s="35">
        <v>3.5403899999999999</v>
      </c>
      <c r="I2591" s="46">
        <f>ROUNDUP(H2591/30,0)*VLOOKUP(D2591,'报价表-配送'!$B$9:$I$13,8,0)</f>
        <v>0</v>
      </c>
      <c r="N2591" s="38">
        <f t="shared" si="39"/>
        <v>0</v>
      </c>
    </row>
    <row r="2592" spans="1:14" x14ac:dyDescent="0.25">
      <c r="A2592" s="1" t="s">
        <v>83</v>
      </c>
      <c r="B2592" s="43" t="s">
        <v>176</v>
      </c>
      <c r="C2592" s="62">
        <f>VLOOKUP(B2592,合并仓明细!$D$2:$F$74,3,0)</f>
        <v>116</v>
      </c>
      <c r="D2592" t="s">
        <v>413</v>
      </c>
      <c r="E2592" s="43" t="s">
        <v>356</v>
      </c>
      <c r="F2592" t="s">
        <v>67</v>
      </c>
      <c r="G2592" s="42">
        <v>1443.87</v>
      </c>
      <c r="N2592" s="38">
        <f t="shared" si="39"/>
        <v>0</v>
      </c>
    </row>
    <row r="2593" spans="1:14" x14ac:dyDescent="0.25">
      <c r="A2593" s="1" t="s">
        <v>83</v>
      </c>
      <c r="B2593" s="43" t="s">
        <v>176</v>
      </c>
      <c r="C2593" s="62">
        <f>VLOOKUP(B2593,合并仓明细!$D$2:$F$74,3,0)</f>
        <v>116</v>
      </c>
      <c r="D2593" t="s">
        <v>413</v>
      </c>
      <c r="E2593" s="43" t="s">
        <v>356</v>
      </c>
      <c r="F2593" t="s">
        <v>66</v>
      </c>
      <c r="G2593" s="42">
        <v>894.0200000000001</v>
      </c>
      <c r="I2593" s="52"/>
      <c r="J2593" s="52"/>
      <c r="K2593" s="52"/>
      <c r="L2593" s="37"/>
      <c r="M2593" s="37"/>
      <c r="N2593" s="38">
        <f t="shared" si="39"/>
        <v>0</v>
      </c>
    </row>
    <row r="2594" spans="1:14" x14ac:dyDescent="0.25">
      <c r="A2594" s="1" t="s">
        <v>83</v>
      </c>
      <c r="B2594" s="43" t="s">
        <v>176</v>
      </c>
      <c r="C2594" s="62">
        <f>VLOOKUP(B2594,合并仓明细!$D$2:$F$74,3,0)</f>
        <v>116</v>
      </c>
      <c r="D2594" t="s">
        <v>413</v>
      </c>
      <c r="E2594" s="43" t="s">
        <v>331</v>
      </c>
      <c r="F2594" t="s">
        <v>68</v>
      </c>
      <c r="G2594" s="42">
        <v>25.82</v>
      </c>
      <c r="H2594" s="35">
        <v>0.15196000000000001</v>
      </c>
      <c r="I2594" s="46">
        <f>ROUNDUP(H2594/30,0)*VLOOKUP(D2594,'报价表-配送'!$B$9:$I$13,8,0)</f>
        <v>0</v>
      </c>
      <c r="N2594" s="38">
        <f t="shared" si="39"/>
        <v>0</v>
      </c>
    </row>
    <row r="2595" spans="1:14" x14ac:dyDescent="0.25">
      <c r="A2595" s="1" t="s">
        <v>83</v>
      </c>
      <c r="B2595" s="43" t="s">
        <v>176</v>
      </c>
      <c r="C2595" s="62">
        <f>VLOOKUP(B2595,合并仓明细!$D$2:$F$74,3,0)</f>
        <v>116</v>
      </c>
      <c r="D2595" t="s">
        <v>413</v>
      </c>
      <c r="E2595" s="43" t="s">
        <v>331</v>
      </c>
      <c r="F2595" t="s">
        <v>67</v>
      </c>
      <c r="G2595" s="42">
        <v>104</v>
      </c>
      <c r="I2595" s="52"/>
      <c r="J2595" s="52"/>
      <c r="K2595" s="52"/>
      <c r="L2595" s="37"/>
      <c r="M2595" s="37"/>
      <c r="N2595" s="38">
        <f t="shared" si="39"/>
        <v>0</v>
      </c>
    </row>
    <row r="2596" spans="1:14" x14ac:dyDescent="0.25">
      <c r="A2596" s="1" t="s">
        <v>83</v>
      </c>
      <c r="B2596" s="43" t="s">
        <v>176</v>
      </c>
      <c r="C2596" s="62">
        <f>VLOOKUP(B2596,合并仓明细!$D$2:$F$74,3,0)</f>
        <v>116</v>
      </c>
      <c r="D2596" t="s">
        <v>413</v>
      </c>
      <c r="E2596" s="43" t="s">
        <v>331</v>
      </c>
      <c r="F2596" t="s">
        <v>66</v>
      </c>
      <c r="G2596" s="42">
        <v>22.140000000000004</v>
      </c>
      <c r="N2596" s="38">
        <f t="shared" si="39"/>
        <v>0</v>
      </c>
    </row>
    <row r="2597" spans="1:14" x14ac:dyDescent="0.25">
      <c r="A2597" s="1" t="s">
        <v>83</v>
      </c>
      <c r="B2597" s="43" t="s">
        <v>176</v>
      </c>
      <c r="C2597" s="62">
        <f>VLOOKUP(B2597,合并仓明细!$D$2:$F$74,3,0)</f>
        <v>116</v>
      </c>
      <c r="D2597" t="s">
        <v>413</v>
      </c>
      <c r="E2597" s="43" t="s">
        <v>328</v>
      </c>
      <c r="F2597" t="s">
        <v>67</v>
      </c>
      <c r="G2597" s="42">
        <v>15.85</v>
      </c>
      <c r="H2597" s="35">
        <v>1.585E-2</v>
      </c>
      <c r="I2597" s="38">
        <f>IF(H2597&gt;30,QUOTIENT(H2597,30)*VLOOKUP(D2597,'报价表-配送'!$B$9:$I$13,8,0),0)+IF(AND(MOD(H2597,30)&gt;18,MOD(H2597,30)&lt;=30),1,0)*VLOOKUP(D2597,'报价表-配送'!$B$9:$I$13,8,0)</f>
        <v>0</v>
      </c>
      <c r="J2597" s="38">
        <f>IF(AND(MOD(H2597,30)&gt;8,MOD(H2597,30)&lt;=18),1*VLOOKUP(D2597,'报价表-配送'!$B$9:$I$13,7,0),0)</f>
        <v>0</v>
      </c>
      <c r="K2597" s="38">
        <f>IF(AND(MOD(H2597,30)&lt;=8,MOD(H2597,30)&gt;0),1,0)*VLOOKUP(D2597,'报价表-配送'!$B$9:$I$13,6,0)</f>
        <v>0</v>
      </c>
      <c r="L2597" s="37"/>
      <c r="M2597" s="39"/>
      <c r="N2597" s="38">
        <f t="shared" si="39"/>
        <v>0</v>
      </c>
    </row>
    <row r="2598" spans="1:14" x14ac:dyDescent="0.25">
      <c r="A2598" s="1" t="s">
        <v>83</v>
      </c>
      <c r="B2598" s="43" t="s">
        <v>176</v>
      </c>
      <c r="C2598" s="62">
        <f>VLOOKUP(B2598,合并仓明细!$D$2:$F$74,3,0)</f>
        <v>116</v>
      </c>
      <c r="D2598" t="s">
        <v>413</v>
      </c>
      <c r="E2598" s="43" t="s">
        <v>367</v>
      </c>
      <c r="F2598" t="s">
        <v>68</v>
      </c>
      <c r="G2598" s="42">
        <v>79.819999999999993</v>
      </c>
      <c r="H2598" s="35">
        <v>0.33656000000000003</v>
      </c>
      <c r="I2598" s="46">
        <f>ROUNDUP(H2598/30,0)*VLOOKUP(D2598,'报价表-配送'!$B$9:$I$13,8,0)</f>
        <v>0</v>
      </c>
      <c r="L2598" s="37"/>
      <c r="M2598" s="39"/>
      <c r="N2598" s="38">
        <f t="shared" si="39"/>
        <v>0</v>
      </c>
    </row>
    <row r="2599" spans="1:14" x14ac:dyDescent="0.25">
      <c r="A2599" s="1" t="s">
        <v>83</v>
      </c>
      <c r="B2599" s="43" t="s">
        <v>176</v>
      </c>
      <c r="C2599" s="62">
        <f>VLOOKUP(B2599,合并仓明细!$D$2:$F$74,3,0)</f>
        <v>116</v>
      </c>
      <c r="D2599" t="s">
        <v>413</v>
      </c>
      <c r="E2599" s="43" t="s">
        <v>367</v>
      </c>
      <c r="F2599" t="s">
        <v>67</v>
      </c>
      <c r="G2599" s="42">
        <v>207.62</v>
      </c>
      <c r="I2599" s="52"/>
      <c r="J2599" s="52"/>
      <c r="K2599" s="52"/>
      <c r="L2599" s="37"/>
      <c r="M2599" s="37"/>
      <c r="N2599" s="38">
        <f t="shared" si="39"/>
        <v>0</v>
      </c>
    </row>
    <row r="2600" spans="1:14" x14ac:dyDescent="0.25">
      <c r="A2600" s="1" t="s">
        <v>83</v>
      </c>
      <c r="B2600" s="43" t="s">
        <v>176</v>
      </c>
      <c r="C2600" s="62">
        <f>VLOOKUP(B2600,合并仓明细!$D$2:$F$74,3,0)</f>
        <v>116</v>
      </c>
      <c r="D2600" t="s">
        <v>413</v>
      </c>
      <c r="E2600" s="43" t="s">
        <v>367</v>
      </c>
      <c r="F2600" t="s">
        <v>66</v>
      </c>
      <c r="G2600" s="42">
        <v>49.120000000000005</v>
      </c>
      <c r="N2600" s="38">
        <f t="shared" si="39"/>
        <v>0</v>
      </c>
    </row>
    <row r="2601" spans="1:14" x14ac:dyDescent="0.25">
      <c r="A2601" s="1" t="s">
        <v>83</v>
      </c>
      <c r="B2601" s="43" t="s">
        <v>462</v>
      </c>
      <c r="C2601" s="62">
        <f>VLOOKUP(B2601,合并仓明细!$D$2:$F$74,3,0)</f>
        <v>131</v>
      </c>
      <c r="D2601" s="44" t="s">
        <v>463</v>
      </c>
      <c r="E2601" s="43" t="s">
        <v>369</v>
      </c>
      <c r="F2601" t="s">
        <v>66</v>
      </c>
      <c r="G2601" s="42">
        <v>8403.0500000000029</v>
      </c>
      <c r="H2601" s="35">
        <v>8.4030500000000021</v>
      </c>
      <c r="I2601" s="46"/>
      <c r="K2601" s="1"/>
      <c r="L2601" s="37">
        <f>IF(H2601&gt;30,QUOTIENT(H2601,30)*VLOOKUP(D2601,'报价表-配送'!$B$9:$I$13,8,0),0)+IF(AND(MOD(H2601,30)&gt;18,MOD(H2601,30)&lt;=30),1,0)*VLOOKUP(D2601,'报价表-配送'!$B$9:$I$13,8,0)+IF(AND(MOD(H2601,30)&gt;8,MOD(H2601,30)&lt;=18),1*VLOOKUP(D2601,'报价表-配送'!$B$9:$I$13,7,0),0)+IF(AND(MOD(H2601,30)&lt;=8,MOD(H2601,30)&gt;2.5),1,0)*VLOOKUP(D2601,'报价表-配送'!$B$9:$I$13,6,0)+IF(AND(MOD(H2601,30)&lt;=2.5,MOD(H2601,30)&gt;=1.5),1,0)*VLOOKUP(D2601,'报价表-配送'!$B$9:$I$13,5,0)</f>
        <v>0</v>
      </c>
      <c r="M2601" s="39">
        <f>IF(AND(MOD(H2601,30)&lt;1.5,MOD(H2601,30)&gt;=0.5),H2601,0)*VLOOKUP(D2601,'报价表-配送'!$B$9:$I$13,4,0)*1000+IF(AND(MOD(H2601,30)&lt;0.5,MOD(H2601,30)&gt;=0.02),H2601,0)*VLOOKUP(D2601,'报价表-配送'!$B$9:$I$13,3,0)*1000+IF(AND(MOD(H2601,30)&lt;0.02),H2601,0)*VLOOKUP(D2601,'报价表-配送'!$B$9:$I$13,2,0)*1000</f>
        <v>0</v>
      </c>
      <c r="N2601" s="38">
        <f t="shared" si="39"/>
        <v>0</v>
      </c>
    </row>
    <row r="2602" spans="1:14" x14ac:dyDescent="0.25">
      <c r="A2602" s="1" t="s">
        <v>83</v>
      </c>
      <c r="B2602" s="43" t="s">
        <v>462</v>
      </c>
      <c r="C2602" s="62">
        <f>VLOOKUP(B2602,合并仓明细!$D$2:$F$74,3,0)</f>
        <v>131</v>
      </c>
      <c r="D2602" s="44" t="s">
        <v>463</v>
      </c>
      <c r="E2602" s="43" t="s">
        <v>334</v>
      </c>
      <c r="F2602" t="s">
        <v>68</v>
      </c>
      <c r="G2602" s="42">
        <v>17190.61</v>
      </c>
      <c r="H2602" s="35">
        <v>62.945220000000006</v>
      </c>
      <c r="I2602" s="46">
        <f>ROUNDUP(H2602/30,0)*VLOOKUP(D2602,'报价表-配送'!$B$9:$I$13,8,0)</f>
        <v>0</v>
      </c>
      <c r="N2602" s="38">
        <f t="shared" si="39"/>
        <v>0</v>
      </c>
    </row>
    <row r="2603" spans="1:14" x14ac:dyDescent="0.25">
      <c r="A2603" s="1" t="s">
        <v>83</v>
      </c>
      <c r="B2603" s="43" t="s">
        <v>462</v>
      </c>
      <c r="C2603" s="62">
        <f>VLOOKUP(B2603,合并仓明细!$D$2:$F$74,3,0)</f>
        <v>131</v>
      </c>
      <c r="D2603" s="44" t="s">
        <v>463</v>
      </c>
      <c r="E2603" s="43" t="s">
        <v>334</v>
      </c>
      <c r="F2603" t="s">
        <v>67</v>
      </c>
      <c r="G2603" s="42">
        <v>37075.44000000001</v>
      </c>
      <c r="L2603" s="37"/>
      <c r="M2603" s="39"/>
      <c r="N2603" s="38">
        <f t="shared" si="39"/>
        <v>0</v>
      </c>
    </row>
    <row r="2604" spans="1:14" x14ac:dyDescent="0.25">
      <c r="A2604" s="1" t="s">
        <v>83</v>
      </c>
      <c r="B2604" s="43" t="s">
        <v>462</v>
      </c>
      <c r="C2604" s="62">
        <f>VLOOKUP(B2604,合并仓明细!$D$2:$F$74,3,0)</f>
        <v>131</v>
      </c>
      <c r="D2604" s="44" t="s">
        <v>463</v>
      </c>
      <c r="E2604" s="43" t="s">
        <v>334</v>
      </c>
      <c r="F2604" t="s">
        <v>66</v>
      </c>
      <c r="G2604" s="42">
        <v>8679.1699999999983</v>
      </c>
      <c r="I2604" s="46"/>
      <c r="K2604" s="1"/>
      <c r="L2604" s="33"/>
      <c r="M2604" s="1"/>
      <c r="N2604" s="38">
        <f t="shared" ref="N2604:N2673" si="40">SUM(I2604:M2604)</f>
        <v>0</v>
      </c>
    </row>
    <row r="2605" spans="1:14" s="75" customFormat="1" x14ac:dyDescent="0.25">
      <c r="A2605" s="75" t="s">
        <v>83</v>
      </c>
      <c r="B2605" s="76" t="s">
        <v>177</v>
      </c>
      <c r="C2605" s="62">
        <f>VLOOKUP(B2605,合并仓明细!$D$2:$F$74,3,0)</f>
        <v>269</v>
      </c>
      <c r="D2605" s="77" t="s">
        <v>414</v>
      </c>
      <c r="E2605" s="76" t="s">
        <v>267</v>
      </c>
      <c r="F2605" s="78" t="s">
        <v>68</v>
      </c>
      <c r="G2605" s="79">
        <v>5969.08</v>
      </c>
      <c r="H2605" s="75">
        <v>21.860079999999996</v>
      </c>
      <c r="I2605" s="46">
        <f>ROUNDUP(H2605/30,0)*VLOOKUP(D2605,'报价表-配送'!$B$9:$I$13,8,0)</f>
        <v>0</v>
      </c>
      <c r="J2605" s="80"/>
      <c r="K2605" s="80"/>
      <c r="M2605" s="81"/>
      <c r="N2605" s="38">
        <f t="shared" si="40"/>
        <v>0</v>
      </c>
    </row>
    <row r="2606" spans="1:14" x14ac:dyDescent="0.25">
      <c r="A2606" s="1" t="s">
        <v>83</v>
      </c>
      <c r="B2606" s="76" t="s">
        <v>177</v>
      </c>
      <c r="C2606" s="62">
        <f>VLOOKUP(B2606,合并仓明细!$D$2:$F$74,3,0)</f>
        <v>269</v>
      </c>
      <c r="D2606" s="44" t="s">
        <v>463</v>
      </c>
      <c r="E2606" s="43" t="s">
        <v>267</v>
      </c>
      <c r="F2606" t="s">
        <v>67</v>
      </c>
      <c r="G2606" s="42">
        <v>12451.56</v>
      </c>
      <c r="N2606" s="38">
        <f t="shared" si="40"/>
        <v>0</v>
      </c>
    </row>
    <row r="2607" spans="1:14" x14ac:dyDescent="0.25">
      <c r="A2607" s="1" t="s">
        <v>83</v>
      </c>
      <c r="B2607" s="76" t="s">
        <v>177</v>
      </c>
      <c r="C2607" s="62">
        <f>VLOOKUP(B2607,合并仓明细!$D$2:$F$74,3,0)</f>
        <v>269</v>
      </c>
      <c r="D2607" s="44" t="s">
        <v>463</v>
      </c>
      <c r="E2607" s="43" t="s">
        <v>267</v>
      </c>
      <c r="F2607" t="s">
        <v>66</v>
      </c>
      <c r="G2607" s="42">
        <v>3439.44</v>
      </c>
      <c r="I2607" s="46"/>
      <c r="K2607" s="1"/>
      <c r="L2607" s="33"/>
      <c r="M2607" s="1"/>
      <c r="N2607" s="38">
        <f t="shared" si="40"/>
        <v>0</v>
      </c>
    </row>
    <row r="2608" spans="1:14" s="75" customFormat="1" x14ac:dyDescent="0.25">
      <c r="A2608" s="75" t="s">
        <v>83</v>
      </c>
      <c r="B2608" s="76" t="s">
        <v>177</v>
      </c>
      <c r="C2608" s="62">
        <f>VLOOKUP(B2608,合并仓明细!$D$2:$F$74,3,0)</f>
        <v>269</v>
      </c>
      <c r="D2608" s="77" t="s">
        <v>414</v>
      </c>
      <c r="E2608" s="76" t="s">
        <v>271</v>
      </c>
      <c r="F2608" s="78" t="s">
        <v>66</v>
      </c>
      <c r="G2608" s="79">
        <v>34.959999999999994</v>
      </c>
      <c r="H2608" s="75">
        <v>3.4959999999999991E-2</v>
      </c>
      <c r="I2608" s="80"/>
      <c r="J2608" s="80"/>
      <c r="K2608" s="80"/>
      <c r="L2608" s="37">
        <f>IF(H2608&gt;30,QUOTIENT(H2608,30)*VLOOKUP(D2608,'报价表-配送'!$B$9:$I$13,8,0),0)+IF(AND(MOD(H2608,30)&gt;18,MOD(H2608,30)&lt;=30),1,0)*VLOOKUP(D2608,'报价表-配送'!$B$9:$I$13,8,0)+IF(AND(MOD(H2608,30)&gt;8,MOD(H2608,30)&lt;=18),1*VLOOKUP(D2608,'报价表-配送'!$B$9:$I$13,7,0),0)+IF(AND(MOD(H2608,30)&lt;=8,MOD(H2608,30)&gt;2.5),1,0)*VLOOKUP(D2608,'报价表-配送'!$B$9:$I$13,6,0)+IF(AND(MOD(H2608,30)&lt;=2.5,MOD(H2608,30)&gt;=1.5),1,0)*VLOOKUP(D2608,'报价表-配送'!$B$9:$I$13,5,0)</f>
        <v>0</v>
      </c>
      <c r="M2608" s="39">
        <f>IF(AND(MOD(H2608,30)&lt;1.5,MOD(H2608,30)&gt;=0.5),H2608,0)*VLOOKUP(D2608,'报价表-配送'!$B$9:$I$13,4,0)*1000+IF(AND(MOD(H2608,30)&lt;0.5,MOD(H2608,30)&gt;=0.02),H2608,0)*VLOOKUP(D2608,'报价表-配送'!$B$9:$I$13,3,0)*1000+IF(AND(MOD(H2608,30)&lt;0.02),H2608,0)*VLOOKUP(D2608,'报价表-配送'!$B$9:$I$13,2,0)*1000</f>
        <v>0</v>
      </c>
      <c r="N2608" s="38">
        <f t="shared" si="40"/>
        <v>0</v>
      </c>
    </row>
    <row r="2609" spans="1:14" x14ac:dyDescent="0.25">
      <c r="A2609" s="1" t="s">
        <v>83</v>
      </c>
      <c r="B2609" s="43" t="s">
        <v>462</v>
      </c>
      <c r="C2609" s="62">
        <f>VLOOKUP(B2609,合并仓明细!$D$2:$F$74,3,0)</f>
        <v>131</v>
      </c>
      <c r="D2609" s="44" t="s">
        <v>463</v>
      </c>
      <c r="E2609" s="43" t="s">
        <v>337</v>
      </c>
      <c r="F2609" t="s">
        <v>66</v>
      </c>
      <c r="G2609" s="42">
        <v>24.2</v>
      </c>
      <c r="H2609" s="35">
        <v>2.4199999999999999E-2</v>
      </c>
      <c r="L2609" s="37">
        <f>IF(H2609&gt;30,QUOTIENT(H2609,30)*VLOOKUP(D2609,'报价表-配送'!$B$9:$I$13,8,0),0)+IF(AND(MOD(H2609,30)&gt;18,MOD(H2609,30)&lt;=30),1,0)*VLOOKUP(D2609,'报价表-配送'!$B$9:$I$13,8,0)+IF(AND(MOD(H2609,30)&gt;8,MOD(H2609,30)&lt;=18),1*VLOOKUP(D2609,'报价表-配送'!$B$9:$I$13,7,0),0)+IF(AND(MOD(H2609,30)&lt;=8,MOD(H2609,30)&gt;2.5),1,0)*VLOOKUP(D2609,'报价表-配送'!$B$9:$I$13,6,0)+IF(AND(MOD(H2609,30)&lt;=2.5,MOD(H2609,30)&gt;=1.5),1,0)*VLOOKUP(D2609,'报价表-配送'!$B$9:$I$13,5,0)</f>
        <v>0</v>
      </c>
      <c r="M2609" s="39">
        <f>IF(AND(MOD(H2609,30)&lt;1.5,MOD(H2609,30)&gt;=0.5),H2609,0)*VLOOKUP(D2609,'报价表-配送'!$B$9:$I$13,4,0)*1000+IF(AND(MOD(H2609,30)&lt;0.5,MOD(H2609,30)&gt;=0.02),H2609,0)*VLOOKUP(D2609,'报价表-配送'!$B$9:$I$13,3,0)*1000+IF(AND(MOD(H2609,30)&lt;0.02),H2609,0)*VLOOKUP(D2609,'报价表-配送'!$B$9:$I$13,2,0)*1000</f>
        <v>0</v>
      </c>
      <c r="N2609" s="38">
        <f t="shared" si="40"/>
        <v>0</v>
      </c>
    </row>
    <row r="2610" spans="1:14" x14ac:dyDescent="0.25">
      <c r="A2610" s="1" t="s">
        <v>83</v>
      </c>
      <c r="B2610" s="43" t="s">
        <v>462</v>
      </c>
      <c r="C2610" s="62">
        <f>VLOOKUP(B2610,合并仓明细!$D$2:$F$74,3,0)</f>
        <v>131</v>
      </c>
      <c r="D2610" s="44" t="s">
        <v>463</v>
      </c>
      <c r="E2610" s="43" t="s">
        <v>277</v>
      </c>
      <c r="F2610" t="s">
        <v>66</v>
      </c>
      <c r="G2610" s="42">
        <v>2493.0000000000005</v>
      </c>
      <c r="H2610" s="35">
        <v>2.4930000000000003</v>
      </c>
      <c r="I2610" s="46"/>
      <c r="K2610" s="1"/>
      <c r="L2610" s="37">
        <f>IF(H2610&gt;30,QUOTIENT(H2610,30)*VLOOKUP(D2610,'报价表-配送'!$B$9:$I$13,8,0),0)+IF(AND(MOD(H2610,30)&gt;18,MOD(H2610,30)&lt;=30),1,0)*VLOOKUP(D2610,'报价表-配送'!$B$9:$I$13,8,0)+IF(AND(MOD(H2610,30)&gt;8,MOD(H2610,30)&lt;=18),1*VLOOKUP(D2610,'报价表-配送'!$B$9:$I$13,7,0),0)+IF(AND(MOD(H2610,30)&lt;=8,MOD(H2610,30)&gt;2.5),1,0)*VLOOKUP(D2610,'报价表-配送'!$B$9:$I$13,6,0)+IF(AND(MOD(H2610,30)&lt;=2.5,MOD(H2610,30)&gt;=1.5),1,0)*VLOOKUP(D2610,'报价表-配送'!$B$9:$I$13,5,0)</f>
        <v>0</v>
      </c>
      <c r="M2610" s="39">
        <f>IF(AND(MOD(H2610,30)&lt;1.5,MOD(H2610,30)&gt;=0.5),H2610,0)*VLOOKUP(D2610,'报价表-配送'!$B$9:$I$13,4,0)*1000+IF(AND(MOD(H2610,30)&lt;0.5,MOD(H2610,30)&gt;=0.02),H2610,0)*VLOOKUP(D2610,'报价表-配送'!$B$9:$I$13,3,0)*1000+IF(AND(MOD(H2610,30)&lt;0.02),H2610,0)*VLOOKUP(D2610,'报价表-配送'!$B$9:$I$13,2,0)*1000</f>
        <v>0</v>
      </c>
      <c r="N2610" s="38">
        <f t="shared" si="40"/>
        <v>0</v>
      </c>
    </row>
    <row r="2611" spans="1:14" x14ac:dyDescent="0.25">
      <c r="A2611" s="1" t="s">
        <v>83</v>
      </c>
      <c r="B2611" s="43" t="s">
        <v>462</v>
      </c>
      <c r="C2611" s="62">
        <f>VLOOKUP(B2611,合并仓明细!$D$2:$F$74,3,0)</f>
        <v>131</v>
      </c>
      <c r="D2611" s="44" t="s">
        <v>463</v>
      </c>
      <c r="E2611" s="43" t="s">
        <v>281</v>
      </c>
      <c r="F2611" t="s">
        <v>68</v>
      </c>
      <c r="G2611" s="42">
        <v>48528.380000000005</v>
      </c>
      <c r="H2611" s="35">
        <v>172.80438000000001</v>
      </c>
      <c r="I2611" s="46">
        <f>ROUNDUP(H2611/30,0)*VLOOKUP(D2611,'报价表-配送'!$B$9:$I$13,8,0)</f>
        <v>0</v>
      </c>
      <c r="N2611" s="38">
        <f t="shared" si="40"/>
        <v>0</v>
      </c>
    </row>
    <row r="2612" spans="1:14" x14ac:dyDescent="0.25">
      <c r="A2612" s="1" t="s">
        <v>83</v>
      </c>
      <c r="B2612" s="43" t="s">
        <v>462</v>
      </c>
      <c r="C2612" s="62">
        <f>VLOOKUP(B2612,合并仓明细!$D$2:$F$74,3,0)</f>
        <v>131</v>
      </c>
      <c r="D2612" s="44" t="s">
        <v>463</v>
      </c>
      <c r="E2612" s="43" t="s">
        <v>281</v>
      </c>
      <c r="F2612" t="s">
        <v>67</v>
      </c>
      <c r="G2612" s="42">
        <v>83533.659999999989</v>
      </c>
      <c r="N2612" s="38">
        <f t="shared" si="40"/>
        <v>0</v>
      </c>
    </row>
    <row r="2613" spans="1:14" x14ac:dyDescent="0.25">
      <c r="A2613" s="1" t="s">
        <v>83</v>
      </c>
      <c r="B2613" s="43" t="s">
        <v>462</v>
      </c>
      <c r="C2613" s="62">
        <f>VLOOKUP(B2613,合并仓明细!$D$2:$F$74,3,0)</f>
        <v>131</v>
      </c>
      <c r="D2613" s="44" t="s">
        <v>463</v>
      </c>
      <c r="E2613" s="43" t="s">
        <v>281</v>
      </c>
      <c r="F2613" t="s">
        <v>66</v>
      </c>
      <c r="G2613" s="42">
        <v>40742.340000000011</v>
      </c>
      <c r="I2613" s="46"/>
      <c r="K2613" s="1"/>
      <c r="L2613" s="33"/>
      <c r="M2613" s="1"/>
      <c r="N2613" s="38">
        <f t="shared" si="40"/>
        <v>0</v>
      </c>
    </row>
    <row r="2614" spans="1:14" x14ac:dyDescent="0.25">
      <c r="A2614" s="1" t="s">
        <v>83</v>
      </c>
      <c r="B2614" s="43" t="s">
        <v>462</v>
      </c>
      <c r="C2614" s="62">
        <f>VLOOKUP(B2614,合并仓明细!$D$2:$F$74,3,0)</f>
        <v>131</v>
      </c>
      <c r="D2614" s="44" t="s">
        <v>463</v>
      </c>
      <c r="E2614" s="43" t="s">
        <v>387</v>
      </c>
      <c r="F2614" t="s">
        <v>68</v>
      </c>
      <c r="G2614" s="42">
        <v>96075.64</v>
      </c>
      <c r="H2614" s="35">
        <v>249.75486999999998</v>
      </c>
      <c r="I2614" s="46">
        <f>ROUNDUP(H2614/30,0)*VLOOKUP(D2614,'报价表-配送'!$B$9:$I$13,8,0)</f>
        <v>0</v>
      </c>
      <c r="N2614" s="38">
        <f t="shared" si="40"/>
        <v>0</v>
      </c>
    </row>
    <row r="2615" spans="1:14" x14ac:dyDescent="0.25">
      <c r="A2615" s="1" t="s">
        <v>83</v>
      </c>
      <c r="B2615" s="43" t="s">
        <v>462</v>
      </c>
      <c r="C2615" s="62">
        <f>VLOOKUP(B2615,合并仓明细!$D$2:$F$74,3,0)</f>
        <v>131</v>
      </c>
      <c r="D2615" s="44" t="s">
        <v>463</v>
      </c>
      <c r="E2615" s="43" t="s">
        <v>387</v>
      </c>
      <c r="F2615" t="s">
        <v>67</v>
      </c>
      <c r="G2615" s="42">
        <v>110834.06</v>
      </c>
      <c r="N2615" s="38">
        <f t="shared" si="40"/>
        <v>0</v>
      </c>
    </row>
    <row r="2616" spans="1:14" x14ac:dyDescent="0.25">
      <c r="A2616" s="1" t="s">
        <v>83</v>
      </c>
      <c r="B2616" s="43" t="s">
        <v>462</v>
      </c>
      <c r="C2616" s="62">
        <f>VLOOKUP(B2616,合并仓明细!$D$2:$F$74,3,0)</f>
        <v>131</v>
      </c>
      <c r="D2616" s="44" t="s">
        <v>463</v>
      </c>
      <c r="E2616" s="43" t="s">
        <v>387</v>
      </c>
      <c r="F2616" t="s">
        <v>66</v>
      </c>
      <c r="G2616" s="42">
        <v>42845.169999999976</v>
      </c>
      <c r="I2616" s="46"/>
      <c r="K2616" s="1"/>
      <c r="L2616" s="33"/>
      <c r="M2616" s="1"/>
      <c r="N2616" s="38">
        <f t="shared" si="40"/>
        <v>0</v>
      </c>
    </row>
    <row r="2617" spans="1:14" x14ac:dyDescent="0.25">
      <c r="A2617" s="1" t="s">
        <v>83</v>
      </c>
      <c r="B2617" s="43" t="s">
        <v>462</v>
      </c>
      <c r="C2617" s="62">
        <f>VLOOKUP(B2617,合并仓明细!$D$2:$F$74,3,0)</f>
        <v>131</v>
      </c>
      <c r="D2617" s="44" t="s">
        <v>463</v>
      </c>
      <c r="E2617" s="43" t="s">
        <v>338</v>
      </c>
      <c r="F2617" t="s">
        <v>66</v>
      </c>
      <c r="G2617" s="42">
        <v>90.88</v>
      </c>
      <c r="H2617" s="35">
        <v>9.0879999999999989E-2</v>
      </c>
      <c r="L2617" s="37">
        <f>IF(H2617&gt;30,QUOTIENT(H2617,30)*VLOOKUP(D2617,'报价表-配送'!$B$9:$I$13,8,0),0)+IF(AND(MOD(H2617,30)&gt;18,MOD(H2617,30)&lt;=30),1,0)*VLOOKUP(D2617,'报价表-配送'!$B$9:$I$13,8,0)+IF(AND(MOD(H2617,30)&gt;8,MOD(H2617,30)&lt;=18),1*VLOOKUP(D2617,'报价表-配送'!$B$9:$I$13,7,0),0)+IF(AND(MOD(H2617,30)&lt;=8,MOD(H2617,30)&gt;2.5),1,0)*VLOOKUP(D2617,'报价表-配送'!$B$9:$I$13,6,0)+IF(AND(MOD(H2617,30)&lt;=2.5,MOD(H2617,30)&gt;=1.5),1,0)*VLOOKUP(D2617,'报价表-配送'!$B$9:$I$13,5,0)</f>
        <v>0</v>
      </c>
      <c r="M2617" s="39">
        <f>IF(AND(MOD(H2617,30)&lt;1.5,MOD(H2617,30)&gt;=0.5),H2617,0)*VLOOKUP(D2617,'报价表-配送'!$B$9:$I$13,4,0)*1000+IF(AND(MOD(H2617,30)&lt;0.5,MOD(H2617,30)&gt;=0.02),H2617,0)*VLOOKUP(D2617,'报价表-配送'!$B$9:$I$13,3,0)*1000+IF(AND(MOD(H2617,30)&lt;0.02),H2617,0)*VLOOKUP(D2617,'报价表-配送'!$B$9:$I$13,2,0)*1000</f>
        <v>0</v>
      </c>
      <c r="N2617" s="38">
        <f t="shared" si="40"/>
        <v>0</v>
      </c>
    </row>
    <row r="2618" spans="1:14" s="75" customFormat="1" x14ac:dyDescent="0.25">
      <c r="A2618" s="75" t="s">
        <v>83</v>
      </c>
      <c r="B2618" s="76" t="s">
        <v>177</v>
      </c>
      <c r="C2618" s="62">
        <f>VLOOKUP(B2618,合并仓明细!$D$2:$F$74,3,0)</f>
        <v>269</v>
      </c>
      <c r="D2618" s="77" t="s">
        <v>414</v>
      </c>
      <c r="E2618" s="76" t="s">
        <v>283</v>
      </c>
      <c r="F2618" s="78" t="s">
        <v>66</v>
      </c>
      <c r="G2618" s="79">
        <v>509.2</v>
      </c>
      <c r="H2618" s="75">
        <v>0.50919999999999999</v>
      </c>
      <c r="I2618" s="80"/>
      <c r="J2618" s="80"/>
      <c r="K2618" s="80"/>
      <c r="L2618" s="37">
        <f>IF(H2618&gt;30,QUOTIENT(H2618,30)*VLOOKUP(D2618,'报价表-配送'!$B$9:$I$13,8,0),0)+IF(AND(MOD(H2618,30)&gt;18,MOD(H2618,30)&lt;=30),1,0)*VLOOKUP(D2618,'报价表-配送'!$B$9:$I$13,8,0)+IF(AND(MOD(H2618,30)&gt;8,MOD(H2618,30)&lt;=18),1*VLOOKUP(D2618,'报价表-配送'!$B$9:$I$13,7,0),0)+IF(AND(MOD(H2618,30)&lt;=8,MOD(H2618,30)&gt;2.5),1,0)*VLOOKUP(D2618,'报价表-配送'!$B$9:$I$13,6,0)+IF(AND(MOD(H2618,30)&lt;=2.5,MOD(H2618,30)&gt;=1.5),1,0)*VLOOKUP(D2618,'报价表-配送'!$B$9:$I$13,5,0)</f>
        <v>0</v>
      </c>
      <c r="M2618" s="39">
        <f>IF(AND(MOD(H2618,30)&lt;1.5,MOD(H2618,30)&gt;=0.5),H2618,0)*VLOOKUP(D2618,'报价表-配送'!$B$9:$I$13,4,0)*1000+IF(AND(MOD(H2618,30)&lt;0.5,MOD(H2618,30)&gt;=0.02),H2618,0)*VLOOKUP(D2618,'报价表-配送'!$B$9:$I$13,3,0)*1000+IF(AND(MOD(H2618,30)&lt;0.02),H2618,0)*VLOOKUP(D2618,'报价表-配送'!$B$9:$I$13,2,0)*1000</f>
        <v>0</v>
      </c>
      <c r="N2618" s="38">
        <f t="shared" si="40"/>
        <v>0</v>
      </c>
    </row>
    <row r="2619" spans="1:14" x14ac:dyDescent="0.25">
      <c r="A2619" s="1" t="s">
        <v>83</v>
      </c>
      <c r="B2619" s="43" t="s">
        <v>462</v>
      </c>
      <c r="C2619" s="62">
        <f>VLOOKUP(B2619,合并仓明细!$D$2:$F$74,3,0)</f>
        <v>131</v>
      </c>
      <c r="D2619" s="44" t="s">
        <v>463</v>
      </c>
      <c r="E2619" s="43" t="s">
        <v>284</v>
      </c>
      <c r="F2619" t="s">
        <v>66</v>
      </c>
      <c r="G2619" s="42">
        <v>81.759999999999991</v>
      </c>
      <c r="H2619" s="35">
        <v>8.1759999999999985E-2</v>
      </c>
      <c r="I2619" s="46"/>
      <c r="K2619" s="1"/>
      <c r="L2619" s="37">
        <f>IF(H2619&gt;30,QUOTIENT(H2619,30)*VLOOKUP(D2619,'报价表-配送'!$B$9:$I$13,8,0),0)+IF(AND(MOD(H2619,30)&gt;18,MOD(H2619,30)&lt;=30),1,0)*VLOOKUP(D2619,'报价表-配送'!$B$9:$I$13,8,0)+IF(AND(MOD(H2619,30)&gt;8,MOD(H2619,30)&lt;=18),1*VLOOKUP(D2619,'报价表-配送'!$B$9:$I$13,7,0),0)+IF(AND(MOD(H2619,30)&lt;=8,MOD(H2619,30)&gt;2.5),1,0)*VLOOKUP(D2619,'报价表-配送'!$B$9:$I$13,6,0)+IF(AND(MOD(H2619,30)&lt;=2.5,MOD(H2619,30)&gt;=1.5),1,0)*VLOOKUP(D2619,'报价表-配送'!$B$9:$I$13,5,0)</f>
        <v>0</v>
      </c>
      <c r="M2619" s="39">
        <f>IF(AND(MOD(H2619,30)&lt;1.5,MOD(H2619,30)&gt;=0.5),H2619,0)*VLOOKUP(D2619,'报价表-配送'!$B$9:$I$13,4,0)*1000+IF(AND(MOD(H2619,30)&lt;0.5,MOD(H2619,30)&gt;=0.02),H2619,0)*VLOOKUP(D2619,'报价表-配送'!$B$9:$I$13,3,0)*1000+IF(AND(MOD(H2619,30)&lt;0.02),H2619,0)*VLOOKUP(D2619,'报价表-配送'!$B$9:$I$13,2,0)*1000</f>
        <v>0</v>
      </c>
      <c r="N2619" s="38">
        <f t="shared" si="40"/>
        <v>0</v>
      </c>
    </row>
    <row r="2620" spans="1:14" s="75" customFormat="1" x14ac:dyDescent="0.25">
      <c r="A2620" s="75" t="s">
        <v>83</v>
      </c>
      <c r="B2620" s="76" t="s">
        <v>177</v>
      </c>
      <c r="C2620" s="62">
        <f>VLOOKUP(B2620,合并仓明细!$D$2:$F$74,3,0)</f>
        <v>269</v>
      </c>
      <c r="D2620" s="77" t="s">
        <v>414</v>
      </c>
      <c r="E2620" s="76" t="s">
        <v>285</v>
      </c>
      <c r="F2620" s="78" t="s">
        <v>67</v>
      </c>
      <c r="G2620" s="79">
        <v>723.66000000000008</v>
      </c>
      <c r="H2620" s="75">
        <v>0.72366000000000008</v>
      </c>
      <c r="I2620" s="38">
        <f>IF(H2620&gt;30,QUOTIENT(H2620,30)*VLOOKUP(D2620,'报价表-配送'!$B$9:$I$13,8,0),0)+IF(AND(MOD(H2620,30)&gt;18,MOD(H2620,30)&lt;=30),1,0)*VLOOKUP(D2620,'报价表-配送'!$B$9:$I$13,8,0)</f>
        <v>0</v>
      </c>
      <c r="J2620" s="38">
        <f>IF(AND(MOD(H2620,30)&gt;8,MOD(H2620,30)&lt;=18),1*VLOOKUP(D2620,'报价表-配送'!$B$9:$I$13,7,0),0)</f>
        <v>0</v>
      </c>
      <c r="K2620" s="38">
        <f>IF(AND(MOD(H2620,30)&lt;=8,MOD(H2620,30)&gt;0),1,0)*VLOOKUP(D2620,'报价表-配送'!$B$9:$I$13,6,0)</f>
        <v>0</v>
      </c>
      <c r="M2620" s="81"/>
      <c r="N2620" s="38">
        <f t="shared" si="40"/>
        <v>0</v>
      </c>
    </row>
    <row r="2621" spans="1:14" x14ac:dyDescent="0.25">
      <c r="A2621" s="1" t="s">
        <v>83</v>
      </c>
      <c r="B2621" s="43" t="s">
        <v>462</v>
      </c>
      <c r="C2621" s="62">
        <f>VLOOKUP(B2621,合并仓明细!$D$2:$F$74,3,0)</f>
        <v>131</v>
      </c>
      <c r="D2621" s="44" t="s">
        <v>463</v>
      </c>
      <c r="E2621" s="43" t="s">
        <v>375</v>
      </c>
      <c r="F2621" t="s">
        <v>66</v>
      </c>
      <c r="G2621" s="42">
        <v>2281.19</v>
      </c>
      <c r="H2621" s="35">
        <v>2.2811900000000001</v>
      </c>
      <c r="L2621" s="37">
        <f>IF(H2621&gt;30,QUOTIENT(H2621,30)*VLOOKUP(D2621,'报价表-配送'!$B$9:$I$13,8,0),0)+IF(AND(MOD(H2621,30)&gt;18,MOD(H2621,30)&lt;=30),1,0)*VLOOKUP(D2621,'报价表-配送'!$B$9:$I$13,8,0)+IF(AND(MOD(H2621,30)&gt;8,MOD(H2621,30)&lt;=18),1*VLOOKUP(D2621,'报价表-配送'!$B$9:$I$13,7,0),0)+IF(AND(MOD(H2621,30)&lt;=8,MOD(H2621,30)&gt;2.5),1,0)*VLOOKUP(D2621,'报价表-配送'!$B$9:$I$13,6,0)+IF(AND(MOD(H2621,30)&lt;=2.5,MOD(H2621,30)&gt;=1.5),1,0)*VLOOKUP(D2621,'报价表-配送'!$B$9:$I$13,5,0)</f>
        <v>0</v>
      </c>
      <c r="M2621" s="39">
        <f>IF(AND(MOD(H2621,30)&lt;1.5,MOD(H2621,30)&gt;=0.5),H2621,0)*VLOOKUP(D2621,'报价表-配送'!$B$9:$I$13,4,0)*1000+IF(AND(MOD(H2621,30)&lt;0.5,MOD(H2621,30)&gt;=0.02),H2621,0)*VLOOKUP(D2621,'报价表-配送'!$B$9:$I$13,3,0)*1000+IF(AND(MOD(H2621,30)&lt;0.02),H2621,0)*VLOOKUP(D2621,'报价表-配送'!$B$9:$I$13,2,0)*1000</f>
        <v>0</v>
      </c>
      <c r="N2621" s="38">
        <f t="shared" si="40"/>
        <v>0</v>
      </c>
    </row>
    <row r="2622" spans="1:14" x14ac:dyDescent="0.25">
      <c r="A2622" s="1" t="s">
        <v>83</v>
      </c>
      <c r="B2622" s="43" t="s">
        <v>462</v>
      </c>
      <c r="C2622" s="62">
        <f>VLOOKUP(B2622,合并仓明细!$D$2:$F$74,3,0)</f>
        <v>131</v>
      </c>
      <c r="D2622" s="44" t="s">
        <v>463</v>
      </c>
      <c r="E2622" s="43" t="s">
        <v>341</v>
      </c>
      <c r="F2622" t="s">
        <v>66</v>
      </c>
      <c r="G2622" s="42">
        <v>180</v>
      </c>
      <c r="H2622" s="35">
        <v>0.18</v>
      </c>
      <c r="I2622" s="46"/>
      <c r="K2622" s="1"/>
      <c r="L2622" s="37">
        <f>IF(H2622&gt;30,QUOTIENT(H2622,30)*VLOOKUP(D2622,'报价表-配送'!$B$9:$I$13,8,0),0)+IF(AND(MOD(H2622,30)&gt;18,MOD(H2622,30)&lt;=30),1,0)*VLOOKUP(D2622,'报价表-配送'!$B$9:$I$13,8,0)+IF(AND(MOD(H2622,30)&gt;8,MOD(H2622,30)&lt;=18),1*VLOOKUP(D2622,'报价表-配送'!$B$9:$I$13,7,0),0)+IF(AND(MOD(H2622,30)&lt;=8,MOD(H2622,30)&gt;2.5),1,0)*VLOOKUP(D2622,'报价表-配送'!$B$9:$I$13,6,0)+IF(AND(MOD(H2622,30)&lt;=2.5,MOD(H2622,30)&gt;=1.5),1,0)*VLOOKUP(D2622,'报价表-配送'!$B$9:$I$13,5,0)</f>
        <v>0</v>
      </c>
      <c r="M2622" s="39">
        <f>IF(AND(MOD(H2622,30)&lt;1.5,MOD(H2622,30)&gt;=0.5),H2622,0)*VLOOKUP(D2622,'报价表-配送'!$B$9:$I$13,4,0)*1000+IF(AND(MOD(H2622,30)&lt;0.5,MOD(H2622,30)&gt;=0.02),H2622,0)*VLOOKUP(D2622,'报价表-配送'!$B$9:$I$13,3,0)*1000+IF(AND(MOD(H2622,30)&lt;0.02),H2622,0)*VLOOKUP(D2622,'报价表-配送'!$B$9:$I$13,2,0)*1000</f>
        <v>0</v>
      </c>
      <c r="N2622" s="38">
        <f t="shared" si="40"/>
        <v>0</v>
      </c>
    </row>
    <row r="2623" spans="1:14" x14ac:dyDescent="0.25">
      <c r="A2623" s="1" t="s">
        <v>83</v>
      </c>
      <c r="B2623" s="43" t="s">
        <v>462</v>
      </c>
      <c r="C2623" s="62">
        <f>VLOOKUP(B2623,合并仓明细!$D$2:$F$74,3,0)</f>
        <v>131</v>
      </c>
      <c r="D2623" s="44" t="s">
        <v>463</v>
      </c>
      <c r="E2623" s="43" t="s">
        <v>326</v>
      </c>
      <c r="F2623" t="s">
        <v>68</v>
      </c>
      <c r="G2623" s="42">
        <v>85684.679999999964</v>
      </c>
      <c r="H2623" s="35">
        <v>276.34483999999986</v>
      </c>
      <c r="I2623" s="46">
        <f>ROUNDUP(H2623/30,0)*VLOOKUP(D2623,'报价表-配送'!$B$9:$I$13,8,0)</f>
        <v>0</v>
      </c>
      <c r="N2623" s="38">
        <f t="shared" si="40"/>
        <v>0</v>
      </c>
    </row>
    <row r="2624" spans="1:14" x14ac:dyDescent="0.25">
      <c r="A2624" s="1" t="s">
        <v>83</v>
      </c>
      <c r="B2624" s="43" t="s">
        <v>462</v>
      </c>
      <c r="C2624" s="62">
        <f>VLOOKUP(B2624,合并仓明细!$D$2:$F$74,3,0)</f>
        <v>131</v>
      </c>
      <c r="D2624" s="44" t="s">
        <v>463</v>
      </c>
      <c r="E2624" s="43" t="s">
        <v>326</v>
      </c>
      <c r="F2624" t="s">
        <v>67</v>
      </c>
      <c r="G2624" s="42">
        <v>129140.80999999995</v>
      </c>
      <c r="N2624" s="38">
        <f t="shared" si="40"/>
        <v>0</v>
      </c>
    </row>
    <row r="2625" spans="1:14" x14ac:dyDescent="0.25">
      <c r="A2625" s="1" t="s">
        <v>83</v>
      </c>
      <c r="B2625" s="43" t="s">
        <v>462</v>
      </c>
      <c r="C2625" s="62">
        <f>VLOOKUP(B2625,合并仓明细!$D$2:$F$74,3,0)</f>
        <v>131</v>
      </c>
      <c r="D2625" s="44" t="s">
        <v>463</v>
      </c>
      <c r="E2625" s="43" t="s">
        <v>326</v>
      </c>
      <c r="F2625" t="s">
        <v>66</v>
      </c>
      <c r="G2625" s="42">
        <v>61519.349999999911</v>
      </c>
      <c r="I2625" s="46"/>
      <c r="K2625" s="1"/>
      <c r="L2625" s="33"/>
      <c r="M2625" s="1"/>
      <c r="N2625" s="38">
        <f t="shared" si="40"/>
        <v>0</v>
      </c>
    </row>
    <row r="2626" spans="1:14" x14ac:dyDescent="0.25">
      <c r="A2626" s="1" t="s">
        <v>83</v>
      </c>
      <c r="B2626" s="43" t="s">
        <v>462</v>
      </c>
      <c r="C2626" s="62">
        <f>VLOOKUP(B2626,合并仓明细!$D$2:$F$74,3,0)</f>
        <v>131</v>
      </c>
      <c r="D2626" s="44" t="s">
        <v>463</v>
      </c>
      <c r="E2626" s="43" t="s">
        <v>298</v>
      </c>
      <c r="F2626" t="s">
        <v>66</v>
      </c>
      <c r="G2626" s="42">
        <v>600</v>
      </c>
      <c r="H2626" s="35">
        <v>0.6</v>
      </c>
      <c r="L2626" s="37">
        <f>IF(H2626&gt;30,QUOTIENT(H2626,30)*VLOOKUP(D2626,'报价表-配送'!$B$9:$I$13,8,0),0)+IF(AND(MOD(H2626,30)&gt;18,MOD(H2626,30)&lt;=30),1,0)*VLOOKUP(D2626,'报价表-配送'!$B$9:$I$13,8,0)+IF(AND(MOD(H2626,30)&gt;8,MOD(H2626,30)&lt;=18),1*VLOOKUP(D2626,'报价表-配送'!$B$9:$I$13,7,0),0)+IF(AND(MOD(H2626,30)&lt;=8,MOD(H2626,30)&gt;2.5),1,0)*VLOOKUP(D2626,'报价表-配送'!$B$9:$I$13,6,0)+IF(AND(MOD(H2626,30)&lt;=2.5,MOD(H2626,30)&gt;=1.5),1,0)*VLOOKUP(D2626,'报价表-配送'!$B$9:$I$13,5,0)</f>
        <v>0</v>
      </c>
      <c r="M2626" s="39">
        <f>IF(AND(MOD(H2626,30)&lt;1.5,MOD(H2626,30)&gt;=0.5),H2626,0)*VLOOKUP(D2626,'报价表-配送'!$B$9:$I$13,4,0)*1000+IF(AND(MOD(H2626,30)&lt;0.5,MOD(H2626,30)&gt;=0.02),H2626,0)*VLOOKUP(D2626,'报价表-配送'!$B$9:$I$13,3,0)*1000+IF(AND(MOD(H2626,30)&lt;0.02),H2626,0)*VLOOKUP(D2626,'报价表-配送'!$B$9:$I$13,2,0)*1000</f>
        <v>0</v>
      </c>
      <c r="N2626" s="38">
        <f t="shared" si="40"/>
        <v>0</v>
      </c>
    </row>
    <row r="2627" spans="1:14" s="75" customFormat="1" x14ac:dyDescent="0.25">
      <c r="A2627" s="75" t="s">
        <v>83</v>
      </c>
      <c r="B2627" s="76" t="s">
        <v>177</v>
      </c>
      <c r="C2627" s="62">
        <f>VLOOKUP(B2627,合并仓明细!$D$2:$F$74,3,0)</f>
        <v>269</v>
      </c>
      <c r="D2627" s="77" t="s">
        <v>414</v>
      </c>
      <c r="E2627" s="76" t="s">
        <v>299</v>
      </c>
      <c r="F2627" s="78" t="s">
        <v>67</v>
      </c>
      <c r="G2627" s="79">
        <v>8041.12</v>
      </c>
      <c r="H2627" s="75">
        <v>8.0584900000000008</v>
      </c>
      <c r="I2627" s="38">
        <f>IF(H2627&gt;30,QUOTIENT(H2627,30)*VLOOKUP(D2627,'报价表-配送'!$B$9:$I$13,8,0),0)+IF(AND(MOD(H2627,30)&gt;18,MOD(H2627,30)&lt;=30),1,0)*VLOOKUP(D2627,'报价表-配送'!$B$9:$I$13,8,0)</f>
        <v>0</v>
      </c>
      <c r="J2627" s="38">
        <f>IF(AND(MOD(H2627,30)&gt;8,MOD(H2627,30)&lt;=18),1*VLOOKUP(D2627,'报价表-配送'!$B$9:$I$13,7,0),0)</f>
        <v>0</v>
      </c>
      <c r="K2627" s="38">
        <f>IF(AND(MOD(H2627,30)&lt;=8,MOD(H2627,30)&gt;0),1,0)*VLOOKUP(D2627,'报价表-配送'!$B$9:$I$13,6,0)</f>
        <v>0</v>
      </c>
      <c r="M2627" s="81"/>
      <c r="N2627" s="38">
        <f t="shared" si="40"/>
        <v>0</v>
      </c>
    </row>
    <row r="2628" spans="1:14" x14ac:dyDescent="0.25">
      <c r="A2628" s="1" t="s">
        <v>83</v>
      </c>
      <c r="B2628" s="76" t="s">
        <v>177</v>
      </c>
      <c r="C2628" s="62">
        <f>VLOOKUP(B2628,合并仓明细!$D$2:$F$74,3,0)</f>
        <v>269</v>
      </c>
      <c r="D2628" s="44" t="s">
        <v>463</v>
      </c>
      <c r="E2628" s="43" t="s">
        <v>299</v>
      </c>
      <c r="F2628" t="s">
        <v>66</v>
      </c>
      <c r="G2628" s="42">
        <v>17.37</v>
      </c>
      <c r="I2628" s="46"/>
      <c r="K2628" s="1"/>
      <c r="L2628" s="33"/>
      <c r="M2628" s="1"/>
      <c r="N2628" s="38">
        <f t="shared" si="40"/>
        <v>0</v>
      </c>
    </row>
    <row r="2629" spans="1:14" x14ac:dyDescent="0.25">
      <c r="A2629" s="1" t="s">
        <v>83</v>
      </c>
      <c r="B2629" s="43" t="s">
        <v>462</v>
      </c>
      <c r="C2629" s="62">
        <f>VLOOKUP(B2629,合并仓明细!$D$2:$F$74,3,0)</f>
        <v>131</v>
      </c>
      <c r="D2629" s="44" t="s">
        <v>463</v>
      </c>
      <c r="E2629" s="43" t="s">
        <v>327</v>
      </c>
      <c r="F2629" t="s">
        <v>67</v>
      </c>
      <c r="G2629" s="42">
        <v>34.15</v>
      </c>
      <c r="H2629" s="35">
        <v>7.6109999999999997E-2</v>
      </c>
      <c r="I2629" s="38">
        <f>IF(H2629&gt;30,QUOTIENT(H2629,30)*VLOOKUP(D2629,'报价表-配送'!$B$9:$I$13,8,0),0)+IF(AND(MOD(H2629,30)&gt;18,MOD(H2629,30)&lt;=30),1,0)*VLOOKUP(D2629,'报价表-配送'!$B$9:$I$13,8,0)</f>
        <v>0</v>
      </c>
      <c r="J2629" s="38">
        <f>IF(AND(MOD(H2629,30)&gt;8,MOD(H2629,30)&lt;=18),1*VLOOKUP(D2629,'报价表-配送'!$B$9:$I$13,7,0),0)</f>
        <v>0</v>
      </c>
      <c r="K2629" s="38">
        <f>IF(AND(MOD(H2629,30)&lt;=8,MOD(H2629,30)&gt;0),1,0)*VLOOKUP(D2629,'报价表-配送'!$B$9:$I$13,6,0)</f>
        <v>0</v>
      </c>
      <c r="N2629" s="38">
        <f t="shared" si="40"/>
        <v>0</v>
      </c>
    </row>
    <row r="2630" spans="1:14" x14ac:dyDescent="0.25">
      <c r="A2630" s="1" t="s">
        <v>83</v>
      </c>
      <c r="B2630" s="43" t="s">
        <v>462</v>
      </c>
      <c r="C2630" s="62">
        <f>VLOOKUP(B2630,合并仓明细!$D$2:$F$74,3,0)</f>
        <v>131</v>
      </c>
      <c r="D2630" s="44" t="s">
        <v>463</v>
      </c>
      <c r="E2630" s="43" t="s">
        <v>327</v>
      </c>
      <c r="F2630" t="s">
        <v>66</v>
      </c>
      <c r="G2630" s="42">
        <v>41.96</v>
      </c>
      <c r="N2630" s="38">
        <f t="shared" si="40"/>
        <v>0</v>
      </c>
    </row>
    <row r="2631" spans="1:14" x14ac:dyDescent="0.25">
      <c r="A2631" s="1" t="s">
        <v>83</v>
      </c>
      <c r="B2631" s="43" t="s">
        <v>462</v>
      </c>
      <c r="C2631" s="62">
        <f>VLOOKUP(B2631,合并仓明细!$D$2:$F$74,3,0)</f>
        <v>131</v>
      </c>
      <c r="D2631" s="44" t="s">
        <v>463</v>
      </c>
      <c r="E2631" s="43" t="s">
        <v>343</v>
      </c>
      <c r="F2631" t="s">
        <v>66</v>
      </c>
      <c r="G2631" s="42">
        <v>337.51</v>
      </c>
      <c r="H2631" s="35">
        <v>0.33750999999999998</v>
      </c>
      <c r="I2631" s="46"/>
      <c r="K2631" s="1"/>
      <c r="L2631" s="37">
        <f>IF(H2631&gt;30,QUOTIENT(H2631,30)*VLOOKUP(D2631,'报价表-配送'!$B$9:$I$13,8,0),0)+IF(AND(MOD(H2631,30)&gt;18,MOD(H2631,30)&lt;=30),1,0)*VLOOKUP(D2631,'报价表-配送'!$B$9:$I$13,8,0)+IF(AND(MOD(H2631,30)&gt;8,MOD(H2631,30)&lt;=18),1*VLOOKUP(D2631,'报价表-配送'!$B$9:$I$13,7,0),0)+IF(AND(MOD(H2631,30)&lt;=8,MOD(H2631,30)&gt;2.5),1,0)*VLOOKUP(D2631,'报价表-配送'!$B$9:$I$13,6,0)+IF(AND(MOD(H2631,30)&lt;=2.5,MOD(H2631,30)&gt;=1.5),1,0)*VLOOKUP(D2631,'报价表-配送'!$B$9:$I$13,5,0)</f>
        <v>0</v>
      </c>
      <c r="M2631" s="39">
        <f>IF(AND(MOD(H2631,30)&lt;1.5,MOD(H2631,30)&gt;=0.5),H2631,0)*VLOOKUP(D2631,'报价表-配送'!$B$9:$I$13,4,0)*1000+IF(AND(MOD(H2631,30)&lt;0.5,MOD(H2631,30)&gt;=0.02),H2631,0)*VLOOKUP(D2631,'报价表-配送'!$B$9:$I$13,3,0)*1000+IF(AND(MOD(H2631,30)&lt;0.02),H2631,0)*VLOOKUP(D2631,'报价表-配送'!$B$9:$I$13,2,0)*1000</f>
        <v>0</v>
      </c>
      <c r="N2631" s="38">
        <f t="shared" si="40"/>
        <v>0</v>
      </c>
    </row>
    <row r="2632" spans="1:14" x14ac:dyDescent="0.25">
      <c r="A2632" s="1" t="s">
        <v>83</v>
      </c>
      <c r="B2632" s="43" t="s">
        <v>462</v>
      </c>
      <c r="C2632" s="62">
        <f>VLOOKUP(B2632,合并仓明细!$D$2:$F$74,3,0)</f>
        <v>131</v>
      </c>
      <c r="D2632" s="44" t="s">
        <v>463</v>
      </c>
      <c r="E2632" s="43" t="s">
        <v>320</v>
      </c>
      <c r="F2632" t="s">
        <v>66</v>
      </c>
      <c r="G2632" s="42">
        <v>0.94</v>
      </c>
      <c r="H2632" s="35">
        <v>9.3999999999999997E-4</v>
      </c>
      <c r="L2632" s="37">
        <f>IF(H2632&gt;30,QUOTIENT(H2632,30)*VLOOKUP(D2632,'报价表-配送'!$B$9:$I$13,8,0),0)+IF(AND(MOD(H2632,30)&gt;18,MOD(H2632,30)&lt;=30),1,0)*VLOOKUP(D2632,'报价表-配送'!$B$9:$I$13,8,0)+IF(AND(MOD(H2632,30)&gt;8,MOD(H2632,30)&lt;=18),1*VLOOKUP(D2632,'报价表-配送'!$B$9:$I$13,7,0),0)+IF(AND(MOD(H2632,30)&lt;=8,MOD(H2632,30)&gt;2.5),1,0)*VLOOKUP(D2632,'报价表-配送'!$B$9:$I$13,6,0)+IF(AND(MOD(H2632,30)&lt;=2.5,MOD(H2632,30)&gt;=1.5),1,0)*VLOOKUP(D2632,'报价表-配送'!$B$9:$I$13,5,0)</f>
        <v>0</v>
      </c>
      <c r="M2632" s="39">
        <f>IF(AND(MOD(H2632,30)&lt;1.5,MOD(H2632,30)&gt;=0.5),H2632,0)*VLOOKUP(D2632,'报价表-配送'!$B$9:$I$13,4,0)*1000+IF(AND(MOD(H2632,30)&lt;0.5,MOD(H2632,30)&gt;=0.02),H2632,0)*VLOOKUP(D2632,'报价表-配送'!$B$9:$I$13,3,0)*1000+IF(AND(MOD(H2632,30)&lt;0.02),H2632,0)*VLOOKUP(D2632,'报价表-配送'!$B$9:$I$13,2,0)*1000</f>
        <v>0</v>
      </c>
      <c r="N2632" s="38">
        <f t="shared" si="40"/>
        <v>0</v>
      </c>
    </row>
    <row r="2633" spans="1:14" s="75" customFormat="1" x14ac:dyDescent="0.25">
      <c r="A2633" s="75" t="s">
        <v>83</v>
      </c>
      <c r="B2633" s="76" t="s">
        <v>177</v>
      </c>
      <c r="C2633" s="62">
        <f>VLOOKUP(B2633,合并仓明细!$D$2:$F$74,3,0)</f>
        <v>269</v>
      </c>
      <c r="D2633" s="77" t="s">
        <v>414</v>
      </c>
      <c r="E2633" s="76" t="s">
        <v>355</v>
      </c>
      <c r="F2633" s="78" t="s">
        <v>68</v>
      </c>
      <c r="G2633" s="79">
        <v>145.29999999999998</v>
      </c>
      <c r="H2633" s="75">
        <v>7.2290500000000009</v>
      </c>
      <c r="I2633" s="46">
        <f>ROUNDUP(H2633/30,0)*VLOOKUP(D2633,'报价表-配送'!$B$9:$I$13,8,0)</f>
        <v>0</v>
      </c>
      <c r="J2633" s="80"/>
      <c r="K2633" s="80"/>
      <c r="M2633" s="81"/>
      <c r="N2633" s="38">
        <f t="shared" si="40"/>
        <v>0</v>
      </c>
    </row>
    <row r="2634" spans="1:14" x14ac:dyDescent="0.25">
      <c r="A2634" s="1" t="s">
        <v>83</v>
      </c>
      <c r="B2634" s="76" t="s">
        <v>177</v>
      </c>
      <c r="C2634" s="62">
        <f>VLOOKUP(B2634,合并仓明细!$D$2:$F$74,3,0)</f>
        <v>269</v>
      </c>
      <c r="D2634" s="44" t="s">
        <v>463</v>
      </c>
      <c r="E2634" s="43" t="s">
        <v>355</v>
      </c>
      <c r="F2634" t="s">
        <v>67</v>
      </c>
      <c r="G2634" s="42">
        <v>4593.46</v>
      </c>
      <c r="I2634" s="46"/>
      <c r="K2634" s="1"/>
      <c r="L2634" s="33"/>
      <c r="M2634" s="1"/>
      <c r="N2634" s="38">
        <f t="shared" si="40"/>
        <v>0</v>
      </c>
    </row>
    <row r="2635" spans="1:14" x14ac:dyDescent="0.25">
      <c r="A2635" s="1" t="s">
        <v>83</v>
      </c>
      <c r="B2635" s="76" t="s">
        <v>177</v>
      </c>
      <c r="C2635" s="62">
        <f>VLOOKUP(B2635,合并仓明细!$D$2:$F$74,3,0)</f>
        <v>269</v>
      </c>
      <c r="D2635" s="44" t="s">
        <v>463</v>
      </c>
      <c r="E2635" s="43" t="s">
        <v>355</v>
      </c>
      <c r="F2635" t="s">
        <v>66</v>
      </c>
      <c r="G2635" s="42">
        <v>2490.2900000000004</v>
      </c>
      <c r="N2635" s="38">
        <f t="shared" si="40"/>
        <v>0</v>
      </c>
    </row>
    <row r="2636" spans="1:14" x14ac:dyDescent="0.25">
      <c r="A2636" s="75" t="s">
        <v>83</v>
      </c>
      <c r="B2636" s="76" t="s">
        <v>177</v>
      </c>
      <c r="C2636" s="62">
        <f>VLOOKUP(B2636,合并仓明细!$D$2:$F$74,3,0)</f>
        <v>269</v>
      </c>
      <c r="D2636" s="77" t="s">
        <v>414</v>
      </c>
      <c r="E2636" s="76" t="s">
        <v>382</v>
      </c>
      <c r="F2636" s="78" t="s">
        <v>66</v>
      </c>
      <c r="G2636" s="79">
        <v>1.34</v>
      </c>
      <c r="H2636" s="75">
        <v>1.34E-3</v>
      </c>
      <c r="I2636" s="80"/>
      <c r="J2636" s="80"/>
      <c r="K2636" s="80"/>
      <c r="L2636" s="37">
        <f>IF(H2636&gt;30,QUOTIENT(H2636,30)*VLOOKUP(D2636,'报价表-配送'!$B$9:$I$13,8,0),0)+IF(AND(MOD(H2636,30)&gt;18,MOD(H2636,30)&lt;=30),1,0)*VLOOKUP(D2636,'报价表-配送'!$B$9:$I$13,8,0)+IF(AND(MOD(H2636,30)&gt;8,MOD(H2636,30)&lt;=18),1*VLOOKUP(D2636,'报价表-配送'!$B$9:$I$13,7,0),0)+IF(AND(MOD(H2636,30)&lt;=8,MOD(H2636,30)&gt;2.5),1,0)*VLOOKUP(D2636,'报价表-配送'!$B$9:$I$13,6,0)+IF(AND(MOD(H2636,30)&lt;=2.5,MOD(H2636,30)&gt;=1.5),1,0)*VLOOKUP(D2636,'报价表-配送'!$B$9:$I$13,5,0)</f>
        <v>0</v>
      </c>
      <c r="M2636" s="39">
        <f>IF(AND(MOD(H2636,30)&lt;1.5,MOD(H2636,30)&gt;=0.5),H2636,0)*VLOOKUP(D2636,'报价表-配送'!$B$9:$I$13,4,0)*1000+IF(AND(MOD(H2636,30)&lt;0.5,MOD(H2636,30)&gt;=0.02),H2636,0)*VLOOKUP(D2636,'报价表-配送'!$B$9:$I$13,3,0)*1000+IF(AND(MOD(H2636,30)&lt;0.02),H2636,0)*VLOOKUP(D2636,'报价表-配送'!$B$9:$I$13,2,0)*1000</f>
        <v>0</v>
      </c>
      <c r="N2636" s="38">
        <f t="shared" si="40"/>
        <v>0</v>
      </c>
    </row>
    <row r="2637" spans="1:14" x14ac:dyDescent="0.25">
      <c r="A2637" s="1" t="s">
        <v>83</v>
      </c>
      <c r="B2637" s="43" t="s">
        <v>462</v>
      </c>
      <c r="C2637" s="62">
        <f>VLOOKUP(B2637,合并仓明细!$D$2:$F$74,3,0)</f>
        <v>131</v>
      </c>
      <c r="D2637" s="44" t="s">
        <v>463</v>
      </c>
      <c r="E2637" s="43" t="s">
        <v>303</v>
      </c>
      <c r="F2637" t="s">
        <v>66</v>
      </c>
      <c r="G2637" s="42">
        <v>25.849999999999998</v>
      </c>
      <c r="H2637" s="35">
        <v>2.5849999999999998E-2</v>
      </c>
      <c r="I2637" s="46"/>
      <c r="K2637" s="1"/>
      <c r="L2637" s="37">
        <f>IF(H2637&gt;30,QUOTIENT(H2637,30)*VLOOKUP(D2637,'报价表-配送'!$B$9:$I$13,8,0),0)+IF(AND(MOD(H2637,30)&gt;18,MOD(H2637,30)&lt;=30),1,0)*VLOOKUP(D2637,'报价表-配送'!$B$9:$I$13,8,0)+IF(AND(MOD(H2637,30)&gt;8,MOD(H2637,30)&lt;=18),1*VLOOKUP(D2637,'报价表-配送'!$B$9:$I$13,7,0),0)+IF(AND(MOD(H2637,30)&lt;=8,MOD(H2637,30)&gt;2.5),1,0)*VLOOKUP(D2637,'报价表-配送'!$B$9:$I$13,6,0)+IF(AND(MOD(H2637,30)&lt;=2.5,MOD(H2637,30)&gt;=1.5),1,0)*VLOOKUP(D2637,'报价表-配送'!$B$9:$I$13,5,0)</f>
        <v>0</v>
      </c>
      <c r="M2637" s="39">
        <f>IF(AND(MOD(H2637,30)&lt;1.5,MOD(H2637,30)&gt;=0.5),H2637,0)*VLOOKUP(D2637,'报价表-配送'!$B$9:$I$13,4,0)*1000+IF(AND(MOD(H2637,30)&lt;0.5,MOD(H2637,30)&gt;=0.02),H2637,0)*VLOOKUP(D2637,'报价表-配送'!$B$9:$I$13,3,0)*1000+IF(AND(MOD(H2637,30)&lt;0.02),H2637,0)*VLOOKUP(D2637,'报价表-配送'!$B$9:$I$13,2,0)*1000</f>
        <v>0</v>
      </c>
      <c r="N2637" s="38">
        <f t="shared" si="40"/>
        <v>0</v>
      </c>
    </row>
    <row r="2638" spans="1:14" x14ac:dyDescent="0.25">
      <c r="A2638" s="1" t="s">
        <v>83</v>
      </c>
      <c r="B2638" s="43" t="s">
        <v>462</v>
      </c>
      <c r="C2638" s="62">
        <f>VLOOKUP(B2638,合并仓明细!$D$2:$F$74,3,0)</f>
        <v>131</v>
      </c>
      <c r="D2638" s="44" t="s">
        <v>463</v>
      </c>
      <c r="E2638" s="43" t="s">
        <v>304</v>
      </c>
      <c r="F2638" t="s">
        <v>68</v>
      </c>
      <c r="G2638" s="42">
        <v>33293.61</v>
      </c>
      <c r="H2638" s="35">
        <v>104.48514999999999</v>
      </c>
      <c r="I2638" s="46">
        <f>ROUNDUP(H2638/30,0)*VLOOKUP(D2638,'报价表-配送'!$B$9:$I$13,8,0)</f>
        <v>0</v>
      </c>
      <c r="N2638" s="38">
        <f t="shared" si="40"/>
        <v>0</v>
      </c>
    </row>
    <row r="2639" spans="1:14" x14ac:dyDescent="0.25">
      <c r="A2639" s="1" t="s">
        <v>83</v>
      </c>
      <c r="B2639" s="43" t="s">
        <v>462</v>
      </c>
      <c r="C2639" s="62">
        <f>VLOOKUP(B2639,合并仓明细!$D$2:$F$74,3,0)</f>
        <v>131</v>
      </c>
      <c r="D2639" s="44" t="s">
        <v>463</v>
      </c>
      <c r="E2639" s="43" t="s">
        <v>304</v>
      </c>
      <c r="F2639" t="s">
        <v>67</v>
      </c>
      <c r="G2639" s="42">
        <v>51267.57</v>
      </c>
      <c r="N2639" s="38">
        <f t="shared" si="40"/>
        <v>0</v>
      </c>
    </row>
    <row r="2640" spans="1:14" x14ac:dyDescent="0.25">
      <c r="A2640" s="1" t="s">
        <v>83</v>
      </c>
      <c r="B2640" s="43" t="s">
        <v>462</v>
      </c>
      <c r="C2640" s="62">
        <f>VLOOKUP(B2640,合并仓明细!$D$2:$F$74,3,0)</f>
        <v>131</v>
      </c>
      <c r="D2640" s="44" t="s">
        <v>463</v>
      </c>
      <c r="E2640" s="43" t="s">
        <v>304</v>
      </c>
      <c r="F2640" t="s">
        <v>66</v>
      </c>
      <c r="G2640" s="42">
        <v>19923.969999999998</v>
      </c>
      <c r="I2640" s="46"/>
      <c r="K2640" s="1"/>
      <c r="L2640" s="33"/>
      <c r="M2640" s="1"/>
      <c r="N2640" s="38">
        <f t="shared" si="40"/>
        <v>0</v>
      </c>
    </row>
    <row r="2641" spans="1:14" x14ac:dyDescent="0.25">
      <c r="A2641" s="1" t="s">
        <v>83</v>
      </c>
      <c r="B2641" s="43" t="s">
        <v>462</v>
      </c>
      <c r="C2641" s="62">
        <f>VLOOKUP(B2641,合并仓明细!$D$2:$F$74,3,0)</f>
        <v>131</v>
      </c>
      <c r="D2641" s="44" t="s">
        <v>463</v>
      </c>
      <c r="E2641" s="43" t="s">
        <v>253</v>
      </c>
      <c r="F2641" t="s">
        <v>68</v>
      </c>
      <c r="G2641" s="42">
        <v>21042.530000000002</v>
      </c>
      <c r="H2641" s="35">
        <v>59.093130000000002</v>
      </c>
      <c r="I2641" s="46">
        <f>ROUNDUP(H2641/30,0)*VLOOKUP(D2641,'报价表-配送'!$B$9:$I$13,8,0)</f>
        <v>0</v>
      </c>
      <c r="N2641" s="38">
        <f t="shared" si="40"/>
        <v>0</v>
      </c>
    </row>
    <row r="2642" spans="1:14" x14ac:dyDescent="0.25">
      <c r="A2642" s="1" t="s">
        <v>83</v>
      </c>
      <c r="B2642" s="43" t="s">
        <v>462</v>
      </c>
      <c r="C2642" s="62">
        <f>VLOOKUP(B2642,合并仓明细!$D$2:$F$74,3,0)</f>
        <v>131</v>
      </c>
      <c r="D2642" s="44" t="s">
        <v>463</v>
      </c>
      <c r="E2642" s="43" t="s">
        <v>253</v>
      </c>
      <c r="F2642" t="s">
        <v>67</v>
      </c>
      <c r="G2642" s="42">
        <v>24646.820000000003</v>
      </c>
      <c r="N2642" s="38">
        <f t="shared" si="40"/>
        <v>0</v>
      </c>
    </row>
    <row r="2643" spans="1:14" x14ac:dyDescent="0.25">
      <c r="A2643" s="1" t="s">
        <v>83</v>
      </c>
      <c r="B2643" s="43" t="s">
        <v>462</v>
      </c>
      <c r="C2643" s="62">
        <f>VLOOKUP(B2643,合并仓明细!$D$2:$F$74,3,0)</f>
        <v>131</v>
      </c>
      <c r="D2643" s="44" t="s">
        <v>463</v>
      </c>
      <c r="E2643" s="43" t="s">
        <v>253</v>
      </c>
      <c r="F2643" t="s">
        <v>66</v>
      </c>
      <c r="G2643" s="42">
        <v>13403.780000000002</v>
      </c>
      <c r="I2643" s="46"/>
      <c r="K2643" s="1"/>
      <c r="L2643" s="33"/>
      <c r="M2643" s="1"/>
      <c r="N2643" s="38">
        <f t="shared" si="40"/>
        <v>0</v>
      </c>
    </row>
    <row r="2644" spans="1:14" x14ac:dyDescent="0.25">
      <c r="A2644" s="1" t="s">
        <v>83</v>
      </c>
      <c r="B2644" s="43" t="s">
        <v>462</v>
      </c>
      <c r="C2644" s="62">
        <f>VLOOKUP(B2644,合并仓明细!$D$2:$F$74,3,0)</f>
        <v>131</v>
      </c>
      <c r="D2644" s="44" t="s">
        <v>463</v>
      </c>
      <c r="E2644" s="43" t="s">
        <v>376</v>
      </c>
      <c r="F2644" t="s">
        <v>68</v>
      </c>
      <c r="G2644" s="42">
        <v>11029.34</v>
      </c>
      <c r="H2644" s="35">
        <v>54.709820000000008</v>
      </c>
      <c r="I2644" s="46">
        <f>ROUNDUP(H2644/30,0)*VLOOKUP(D2644,'报价表-配送'!$B$9:$I$13,8,0)</f>
        <v>0</v>
      </c>
      <c r="N2644" s="38">
        <f t="shared" si="40"/>
        <v>0</v>
      </c>
    </row>
    <row r="2645" spans="1:14" x14ac:dyDescent="0.25">
      <c r="A2645" s="1" t="s">
        <v>83</v>
      </c>
      <c r="B2645" s="43" t="s">
        <v>462</v>
      </c>
      <c r="C2645" s="62">
        <f>VLOOKUP(B2645,合并仓明细!$D$2:$F$74,3,0)</f>
        <v>131</v>
      </c>
      <c r="D2645" s="44" t="s">
        <v>463</v>
      </c>
      <c r="E2645" s="43" t="s">
        <v>376</v>
      </c>
      <c r="F2645" t="s">
        <v>67</v>
      </c>
      <c r="G2645" s="42">
        <v>31536.530000000002</v>
      </c>
      <c r="N2645" s="38">
        <f t="shared" si="40"/>
        <v>0</v>
      </c>
    </row>
    <row r="2646" spans="1:14" x14ac:dyDescent="0.25">
      <c r="A2646" s="1" t="s">
        <v>83</v>
      </c>
      <c r="B2646" s="43" t="s">
        <v>462</v>
      </c>
      <c r="C2646" s="62">
        <f>VLOOKUP(B2646,合并仓明细!$D$2:$F$74,3,0)</f>
        <v>131</v>
      </c>
      <c r="D2646" s="44" t="s">
        <v>463</v>
      </c>
      <c r="E2646" s="43" t="s">
        <v>376</v>
      </c>
      <c r="F2646" t="s">
        <v>66</v>
      </c>
      <c r="G2646" s="42">
        <v>12143.95</v>
      </c>
      <c r="I2646" s="46"/>
      <c r="K2646" s="1"/>
      <c r="L2646" s="33"/>
      <c r="M2646" s="1"/>
      <c r="N2646" s="38">
        <f t="shared" si="40"/>
        <v>0</v>
      </c>
    </row>
    <row r="2647" spans="1:14" x14ac:dyDescent="0.25">
      <c r="A2647" s="1" t="s">
        <v>83</v>
      </c>
      <c r="B2647" s="43" t="s">
        <v>462</v>
      </c>
      <c r="C2647" s="62">
        <f>VLOOKUP(B2647,合并仓明细!$D$2:$F$74,3,0)</f>
        <v>131</v>
      </c>
      <c r="D2647" s="44" t="s">
        <v>463</v>
      </c>
      <c r="E2647" s="43" t="s">
        <v>356</v>
      </c>
      <c r="F2647" t="s">
        <v>68</v>
      </c>
      <c r="G2647" s="42">
        <v>1907.96</v>
      </c>
      <c r="H2647" s="35">
        <v>18.359209999999997</v>
      </c>
      <c r="I2647" s="46">
        <f>ROUNDUP(H2647/30,0)*VLOOKUP(D2647,'报价表-配送'!$B$9:$I$13,8,0)</f>
        <v>0</v>
      </c>
      <c r="N2647" s="38">
        <f t="shared" si="40"/>
        <v>0</v>
      </c>
    </row>
    <row r="2648" spans="1:14" x14ac:dyDescent="0.25">
      <c r="A2648" s="1" t="s">
        <v>83</v>
      </c>
      <c r="B2648" s="43" t="s">
        <v>462</v>
      </c>
      <c r="C2648" s="62">
        <f>VLOOKUP(B2648,合并仓明细!$D$2:$F$74,3,0)</f>
        <v>131</v>
      </c>
      <c r="D2648" s="44" t="s">
        <v>463</v>
      </c>
      <c r="E2648" s="43" t="s">
        <v>356</v>
      </c>
      <c r="F2648" t="s">
        <v>67</v>
      </c>
      <c r="G2648" s="42">
        <v>12082.310000000001</v>
      </c>
      <c r="N2648" s="38">
        <f t="shared" si="40"/>
        <v>0</v>
      </c>
    </row>
    <row r="2649" spans="1:14" x14ac:dyDescent="0.25">
      <c r="A2649" s="1" t="s">
        <v>83</v>
      </c>
      <c r="B2649" s="43" t="s">
        <v>462</v>
      </c>
      <c r="C2649" s="62">
        <f>VLOOKUP(B2649,合并仓明细!$D$2:$F$74,3,0)</f>
        <v>131</v>
      </c>
      <c r="D2649" s="44" t="s">
        <v>463</v>
      </c>
      <c r="E2649" s="43" t="s">
        <v>356</v>
      </c>
      <c r="F2649" t="s">
        <v>66</v>
      </c>
      <c r="G2649" s="42">
        <v>4368.9400000000005</v>
      </c>
      <c r="I2649" s="46"/>
      <c r="K2649" s="1"/>
      <c r="L2649" s="33"/>
      <c r="M2649" s="1"/>
      <c r="N2649" s="38">
        <f t="shared" si="40"/>
        <v>0</v>
      </c>
    </row>
    <row r="2650" spans="1:14" x14ac:dyDescent="0.25">
      <c r="A2650" s="1" t="s">
        <v>83</v>
      </c>
      <c r="B2650" s="43" t="s">
        <v>462</v>
      </c>
      <c r="C2650" s="62">
        <f>VLOOKUP(B2650,合并仓明细!$D$2:$F$74,3,0)</f>
        <v>131</v>
      </c>
      <c r="D2650" s="44" t="s">
        <v>463</v>
      </c>
      <c r="E2650" s="43" t="s">
        <v>331</v>
      </c>
      <c r="F2650" t="s">
        <v>66</v>
      </c>
      <c r="G2650" s="42">
        <v>26.060000000000002</v>
      </c>
      <c r="H2650" s="35">
        <v>2.6060000000000003E-2</v>
      </c>
      <c r="L2650" s="37">
        <f>IF(H2650&gt;30,QUOTIENT(H2650,30)*VLOOKUP(D2650,'报价表-配送'!$B$9:$I$13,8,0),0)+IF(AND(MOD(H2650,30)&gt;18,MOD(H2650,30)&lt;=30),1,0)*VLOOKUP(D2650,'报价表-配送'!$B$9:$I$13,8,0)+IF(AND(MOD(H2650,30)&gt;8,MOD(H2650,30)&lt;=18),1*VLOOKUP(D2650,'报价表-配送'!$B$9:$I$13,7,0),0)+IF(AND(MOD(H2650,30)&lt;=8,MOD(H2650,30)&gt;2.5),1,0)*VLOOKUP(D2650,'报价表-配送'!$B$9:$I$13,6,0)+IF(AND(MOD(H2650,30)&lt;=2.5,MOD(H2650,30)&gt;=1.5),1,0)*VLOOKUP(D2650,'报价表-配送'!$B$9:$I$13,5,0)</f>
        <v>0</v>
      </c>
      <c r="M2650" s="39">
        <f>IF(AND(MOD(H2650,30)&lt;1.5,MOD(H2650,30)&gt;=0.5),H2650,0)*VLOOKUP(D2650,'报价表-配送'!$B$9:$I$13,4,0)*1000+IF(AND(MOD(H2650,30)&lt;0.5,MOD(H2650,30)&gt;=0.02),H2650,0)*VLOOKUP(D2650,'报价表-配送'!$B$9:$I$13,3,0)*1000+IF(AND(MOD(H2650,30)&lt;0.02),H2650,0)*VLOOKUP(D2650,'报价表-配送'!$B$9:$I$13,2,0)*1000</f>
        <v>0</v>
      </c>
      <c r="N2650" s="38">
        <f t="shared" si="40"/>
        <v>0</v>
      </c>
    </row>
    <row r="2651" spans="1:14" x14ac:dyDescent="0.25">
      <c r="A2651" s="1" t="s">
        <v>83</v>
      </c>
      <c r="B2651" s="43" t="s">
        <v>462</v>
      </c>
      <c r="C2651" s="62">
        <f>VLOOKUP(B2651,合并仓明细!$D$2:$F$74,3,0)</f>
        <v>131</v>
      </c>
      <c r="D2651" s="44" t="s">
        <v>463</v>
      </c>
      <c r="E2651" s="43" t="s">
        <v>328</v>
      </c>
      <c r="F2651" t="s">
        <v>68</v>
      </c>
      <c r="G2651" s="42">
        <v>1564.71</v>
      </c>
      <c r="H2651" s="35">
        <v>9.8234000000000012</v>
      </c>
      <c r="I2651" s="46">
        <f>ROUNDUP(H2651/30,0)*VLOOKUP(D2651,'报价表-配送'!$B$9:$I$13,8,0)</f>
        <v>0</v>
      </c>
      <c r="N2651" s="38">
        <f t="shared" si="40"/>
        <v>0</v>
      </c>
    </row>
    <row r="2652" spans="1:14" x14ac:dyDescent="0.25">
      <c r="A2652" s="1" t="s">
        <v>83</v>
      </c>
      <c r="B2652" s="43" t="s">
        <v>462</v>
      </c>
      <c r="C2652" s="62">
        <f>VLOOKUP(B2652,合并仓明细!$D$2:$F$74,3,0)</f>
        <v>131</v>
      </c>
      <c r="D2652" s="44" t="s">
        <v>463</v>
      </c>
      <c r="E2652" s="43" t="s">
        <v>328</v>
      </c>
      <c r="F2652" t="s">
        <v>67</v>
      </c>
      <c r="G2652" s="42">
        <v>5287.8200000000006</v>
      </c>
      <c r="I2652" s="46"/>
      <c r="K2652" s="1"/>
      <c r="L2652" s="33"/>
      <c r="M2652" s="1"/>
      <c r="N2652" s="38">
        <f t="shared" si="40"/>
        <v>0</v>
      </c>
    </row>
    <row r="2653" spans="1:14" x14ac:dyDescent="0.25">
      <c r="A2653" s="1" t="s">
        <v>83</v>
      </c>
      <c r="B2653" s="43" t="s">
        <v>462</v>
      </c>
      <c r="C2653" s="62">
        <f>VLOOKUP(B2653,合并仓明细!$D$2:$F$74,3,0)</f>
        <v>131</v>
      </c>
      <c r="D2653" s="44" t="s">
        <v>463</v>
      </c>
      <c r="E2653" s="43" t="s">
        <v>328</v>
      </c>
      <c r="F2653" t="s">
        <v>66</v>
      </c>
      <c r="G2653" s="42">
        <v>2970.8700000000008</v>
      </c>
      <c r="N2653" s="38">
        <f t="shared" si="40"/>
        <v>0</v>
      </c>
    </row>
    <row r="2654" spans="1:14" x14ac:dyDescent="0.25">
      <c r="A2654" s="1" t="s">
        <v>83</v>
      </c>
      <c r="B2654" s="43" t="s">
        <v>462</v>
      </c>
      <c r="C2654" s="62">
        <f>VLOOKUP(B2654,合并仓明细!$D$2:$F$74,3,0)</f>
        <v>131</v>
      </c>
      <c r="D2654" s="44" t="s">
        <v>463</v>
      </c>
      <c r="E2654" s="43" t="s">
        <v>254</v>
      </c>
      <c r="F2654" t="s">
        <v>68</v>
      </c>
      <c r="G2654" s="42">
        <v>1132.6500000000001</v>
      </c>
      <c r="H2654" s="35">
        <v>30.899280000000005</v>
      </c>
      <c r="I2654" s="46">
        <f>ROUNDUP(H2654/30,0)*VLOOKUP(D2654,'报价表-配送'!$B$9:$I$13,8,0)</f>
        <v>0</v>
      </c>
      <c r="N2654" s="38">
        <f t="shared" si="40"/>
        <v>0</v>
      </c>
    </row>
    <row r="2655" spans="1:14" x14ac:dyDescent="0.25">
      <c r="A2655" s="1" t="s">
        <v>83</v>
      </c>
      <c r="B2655" s="43" t="s">
        <v>462</v>
      </c>
      <c r="C2655" s="62">
        <f>VLOOKUP(B2655,合并仓明细!$D$2:$F$74,3,0)</f>
        <v>131</v>
      </c>
      <c r="D2655" s="44" t="s">
        <v>463</v>
      </c>
      <c r="E2655" s="43" t="s">
        <v>254</v>
      </c>
      <c r="F2655" t="s">
        <v>67</v>
      </c>
      <c r="G2655" s="42">
        <v>12672.359999999999</v>
      </c>
      <c r="I2655" s="46"/>
      <c r="K2655" s="1"/>
      <c r="L2655" s="33"/>
      <c r="M2655" s="1"/>
      <c r="N2655" s="38">
        <f t="shared" si="40"/>
        <v>0</v>
      </c>
    </row>
    <row r="2656" spans="1:14" x14ac:dyDescent="0.25">
      <c r="A2656" s="1" t="s">
        <v>83</v>
      </c>
      <c r="B2656" s="43" t="s">
        <v>462</v>
      </c>
      <c r="C2656" s="62">
        <f>VLOOKUP(B2656,合并仓明细!$D$2:$F$74,3,0)</f>
        <v>131</v>
      </c>
      <c r="D2656" s="44" t="s">
        <v>463</v>
      </c>
      <c r="E2656" s="43" t="s">
        <v>254</v>
      </c>
      <c r="F2656" t="s">
        <v>66</v>
      </c>
      <c r="G2656" s="42">
        <v>17094.270000000008</v>
      </c>
      <c r="N2656" s="38">
        <f t="shared" si="40"/>
        <v>0</v>
      </c>
    </row>
    <row r="2657" spans="1:14" x14ac:dyDescent="0.25">
      <c r="A2657" s="1" t="s">
        <v>83</v>
      </c>
      <c r="B2657" s="43" t="s">
        <v>462</v>
      </c>
      <c r="C2657" s="62">
        <f>VLOOKUP(B2657,合并仓明细!$D$2:$F$74,3,0)</f>
        <v>131</v>
      </c>
      <c r="D2657" s="44" t="s">
        <v>463</v>
      </c>
      <c r="E2657" s="43" t="s">
        <v>390</v>
      </c>
      <c r="F2657" t="s">
        <v>67</v>
      </c>
      <c r="G2657" s="42">
        <v>1218.4000000000001</v>
      </c>
      <c r="H2657" s="35">
        <v>1.25576</v>
      </c>
      <c r="I2657" s="38">
        <f>IF(H2657&gt;30,QUOTIENT(H2657,30)*VLOOKUP(D2657,'报价表-配送'!$B$9:$I$13,8,0),0)+IF(AND(MOD(H2657,30)&gt;18,MOD(H2657,30)&lt;=30),1,0)*VLOOKUP(D2657,'报价表-配送'!$B$9:$I$13,8,0)</f>
        <v>0</v>
      </c>
      <c r="J2657" s="38">
        <f>IF(AND(MOD(H2657,30)&gt;8,MOD(H2657,30)&lt;=18),1*VLOOKUP(D2657,'报价表-配送'!$B$9:$I$13,7,0),0)</f>
        <v>0</v>
      </c>
      <c r="K2657" s="38">
        <f>IF(AND(MOD(H2657,30)&lt;=8,MOD(H2657,30)&gt;0),1,0)*VLOOKUP(D2657,'报价表-配送'!$B$9:$I$13,6,0)</f>
        <v>0</v>
      </c>
      <c r="N2657" s="38">
        <f t="shared" si="40"/>
        <v>0</v>
      </c>
    </row>
    <row r="2658" spans="1:14" x14ac:dyDescent="0.25">
      <c r="A2658" s="1" t="s">
        <v>83</v>
      </c>
      <c r="B2658" s="43" t="s">
        <v>462</v>
      </c>
      <c r="C2658" s="62">
        <f>VLOOKUP(B2658,合并仓明细!$D$2:$F$74,3,0)</f>
        <v>131</v>
      </c>
      <c r="D2658" s="44" t="s">
        <v>463</v>
      </c>
      <c r="E2658" s="43" t="s">
        <v>390</v>
      </c>
      <c r="F2658" t="s">
        <v>66</v>
      </c>
      <c r="G2658" s="42">
        <v>37.36</v>
      </c>
      <c r="I2658" s="46"/>
      <c r="K2658" s="1"/>
      <c r="L2658" s="33"/>
      <c r="M2658" s="1"/>
      <c r="N2658" s="38">
        <f t="shared" si="40"/>
        <v>0</v>
      </c>
    </row>
    <row r="2659" spans="1:14" x14ac:dyDescent="0.25">
      <c r="A2659" s="1" t="s">
        <v>83</v>
      </c>
      <c r="B2659" s="43" t="s">
        <v>462</v>
      </c>
      <c r="C2659" s="62">
        <f>VLOOKUP(B2659,合并仓明细!$D$2:$F$74,3,0)</f>
        <v>131</v>
      </c>
      <c r="D2659" s="44" t="s">
        <v>463</v>
      </c>
      <c r="E2659" s="36" t="s">
        <v>332</v>
      </c>
      <c r="F2659" s="1" t="s">
        <v>66</v>
      </c>
      <c r="G2659" s="1">
        <v>12.41</v>
      </c>
      <c r="H2659" s="35">
        <v>1.2410000000000001E-2</v>
      </c>
      <c r="L2659" s="37">
        <f>IF(H2659&gt;30,QUOTIENT(H2659,30)*VLOOKUP(D2659,'报价表-配送'!$B$9:$I$13,8,0),0)+IF(AND(MOD(H2659,30)&gt;18,MOD(H2659,30)&lt;=30),1,0)*VLOOKUP(D2659,'报价表-配送'!$B$9:$I$13,8,0)+IF(AND(MOD(H2659,30)&gt;8,MOD(H2659,30)&lt;=18),1*VLOOKUP(D2659,'报价表-配送'!$B$9:$I$13,7,0),0)+IF(AND(MOD(H2659,30)&lt;=8,MOD(H2659,30)&gt;2.5),1,0)*VLOOKUP(D2659,'报价表-配送'!$B$9:$I$13,6,0)+IF(AND(MOD(H2659,30)&lt;=2.5,MOD(H2659,30)&gt;=1.5),1,0)*VLOOKUP(D2659,'报价表-配送'!$B$9:$I$13,5,0)</f>
        <v>0</v>
      </c>
      <c r="M2659" s="39">
        <f>IF(AND(MOD(H2659,30)&lt;1.5,MOD(H2659,30)&gt;=0.5),H2659,0)*VLOOKUP(D2659,'报价表-配送'!$B$9:$I$13,4,0)*1000+IF(AND(MOD(H2659,30)&lt;0.5,MOD(H2659,30)&gt;=0.02),H2659,0)*VLOOKUP(D2659,'报价表-配送'!$B$9:$I$13,3,0)*1000+IF(AND(MOD(H2659,30)&lt;0.02),H2659,0)*VLOOKUP(D2659,'报价表-配送'!$B$9:$I$13,2,0)*1000</f>
        <v>0</v>
      </c>
      <c r="N2659" s="38">
        <f t="shared" si="40"/>
        <v>0</v>
      </c>
    </row>
    <row r="2660" spans="1:14" x14ac:dyDescent="0.25">
      <c r="A2660" s="1" t="s">
        <v>83</v>
      </c>
      <c r="B2660" s="43" t="s">
        <v>462</v>
      </c>
      <c r="C2660" s="62">
        <f>VLOOKUP(B2660,合并仓明细!$D$2:$F$74,3,0)</f>
        <v>131</v>
      </c>
      <c r="D2660" s="44" t="s">
        <v>463</v>
      </c>
      <c r="E2660" s="36" t="s">
        <v>367</v>
      </c>
      <c r="F2660" s="1" t="s">
        <v>66</v>
      </c>
      <c r="G2660" s="1">
        <v>20.560000000000002</v>
      </c>
      <c r="H2660" s="35">
        <v>2.0560000000000002E-2</v>
      </c>
      <c r="L2660" s="37">
        <f>IF(H2660&gt;30,QUOTIENT(H2660,30)*VLOOKUP(D2660,'报价表-配送'!$B$9:$I$13,8,0),0)+IF(AND(MOD(H2660,30)&gt;18,MOD(H2660,30)&lt;=30),1,0)*VLOOKUP(D2660,'报价表-配送'!$B$9:$I$13,8,0)+IF(AND(MOD(H2660,30)&gt;8,MOD(H2660,30)&lt;=18),1*VLOOKUP(D2660,'报价表-配送'!$B$9:$I$13,7,0),0)+IF(AND(MOD(H2660,30)&lt;=8,MOD(H2660,30)&gt;2.5),1,0)*VLOOKUP(D2660,'报价表-配送'!$B$9:$I$13,6,0)+IF(AND(MOD(H2660,30)&lt;=2.5,MOD(H2660,30)&gt;=1.5),1,0)*VLOOKUP(D2660,'报价表-配送'!$B$9:$I$13,5,0)</f>
        <v>0</v>
      </c>
      <c r="M2660" s="39">
        <f>IF(AND(MOD(H2660,30)&lt;1.5,MOD(H2660,30)&gt;=0.5),H2660,0)*VLOOKUP(D2660,'报价表-配送'!$B$9:$I$13,4,0)*1000+IF(AND(MOD(H2660,30)&lt;0.5,MOD(H2660,30)&gt;=0.02),H2660,0)*VLOOKUP(D2660,'报价表-配送'!$B$9:$I$13,3,0)*1000+IF(AND(MOD(H2660,30)&lt;0.02),H2660,0)*VLOOKUP(D2660,'报价表-配送'!$B$9:$I$13,2,0)*1000</f>
        <v>0</v>
      </c>
      <c r="N2660" s="38">
        <f t="shared" si="40"/>
        <v>0</v>
      </c>
    </row>
    <row r="2661" spans="1:14" x14ac:dyDescent="0.25">
      <c r="A2661" s="104" t="s">
        <v>83</v>
      </c>
      <c r="B2661" s="106" t="s">
        <v>462</v>
      </c>
      <c r="C2661" s="62">
        <f>VLOOKUP(B2661,合并仓明细!$D$2:$F$74,3,0)</f>
        <v>131</v>
      </c>
      <c r="D2661" s="103" t="s">
        <v>513</v>
      </c>
      <c r="E2661" s="103" t="s">
        <v>255</v>
      </c>
      <c r="F2661" s="103" t="s">
        <v>67</v>
      </c>
      <c r="G2661">
        <v>39000</v>
      </c>
      <c r="H2661">
        <v>39</v>
      </c>
      <c r="I2661" s="38">
        <f>IF(H2661&gt;30,QUOTIENT(H2661,30)*VLOOKUP(D2661,'报价表-配送'!$B$9:$I$13,8,0),0)+IF(AND(MOD(H2661,30)&gt;18,MOD(H2661,30)&lt;=30),1,0)*VLOOKUP(D2661,'报价表-配送'!$B$9:$I$13,8,0)</f>
        <v>0</v>
      </c>
      <c r="J2661" s="38">
        <f>IF(AND(MOD(H2661,30)&gt;8,MOD(H2661,30)&lt;=18),1*VLOOKUP(D2661,'报价表-配送'!$B$9:$I$13,7,0),0)</f>
        <v>0</v>
      </c>
      <c r="K2661" s="38">
        <f>IF(AND(MOD(H2661,30)&lt;=8,MOD(H2661,30)&gt;0),1,0)*VLOOKUP(D2661,'报价表-配送'!$B$9:$I$13,6,0)</f>
        <v>0</v>
      </c>
      <c r="L2661" s="37"/>
      <c r="M2661" s="39"/>
      <c r="N2661" s="38">
        <f t="shared" si="40"/>
        <v>0</v>
      </c>
    </row>
    <row r="2662" spans="1:14" x14ac:dyDescent="0.25">
      <c r="A2662" s="104" t="s">
        <v>83</v>
      </c>
      <c r="B2662" s="106" t="s">
        <v>462</v>
      </c>
      <c r="C2662" s="62">
        <f>VLOOKUP(B2662,合并仓明细!$D$2:$F$74,3,0)</f>
        <v>131</v>
      </c>
      <c r="D2662" s="103" t="s">
        <v>513</v>
      </c>
      <c r="E2662" s="103" t="s">
        <v>255</v>
      </c>
      <c r="F2662" s="103" t="s">
        <v>67</v>
      </c>
      <c r="G2662">
        <v>8000</v>
      </c>
      <c r="H2662">
        <v>8</v>
      </c>
      <c r="I2662" s="38">
        <f>IF(H2662&gt;30,QUOTIENT(H2662,30)*VLOOKUP(D2662,'报价表-配送'!$B$9:$I$13,8,0),0)+IF(AND(MOD(H2662,30)&gt;18,MOD(H2662,30)&lt;=30),1,0)*VLOOKUP(D2662,'报价表-配送'!$B$9:$I$13,8,0)</f>
        <v>0</v>
      </c>
      <c r="J2662" s="38">
        <f>IF(AND(MOD(H2662,30)&gt;8,MOD(H2662,30)&lt;=18),1*VLOOKUP(D2662,'报价表-配送'!$B$9:$I$13,7,0),0)</f>
        <v>0</v>
      </c>
      <c r="K2662" s="38">
        <f>IF(AND(MOD(H2662,30)&lt;=8,MOD(H2662,30)&gt;0),1,0)*VLOOKUP(D2662,'报价表-配送'!$B$9:$I$13,6,0)</f>
        <v>0</v>
      </c>
      <c r="L2662" s="37"/>
      <c r="M2662" s="39"/>
      <c r="N2662" s="38">
        <f t="shared" si="40"/>
        <v>0</v>
      </c>
    </row>
    <row r="2663" spans="1:14" x14ac:dyDescent="0.25">
      <c r="A2663" s="104" t="s">
        <v>83</v>
      </c>
      <c r="B2663" s="106" t="s">
        <v>462</v>
      </c>
      <c r="C2663" s="62">
        <f>VLOOKUP(B2663,合并仓明细!$D$2:$F$74,3,0)</f>
        <v>131</v>
      </c>
      <c r="D2663" s="103" t="s">
        <v>513</v>
      </c>
      <c r="E2663" s="103" t="s">
        <v>255</v>
      </c>
      <c r="F2663" s="105" t="s">
        <v>66</v>
      </c>
      <c r="G2663">
        <v>2500</v>
      </c>
      <c r="H2663">
        <v>2.5</v>
      </c>
      <c r="L2663" s="37">
        <f>IF(H2663&gt;30,QUOTIENT(H2663,30)*VLOOKUP(D2663,'报价表-配送'!$B$9:$I$13,8,0),0)+IF(AND(MOD(H2663,30)&gt;18,MOD(H2663,30)&lt;=30),1,0)*VLOOKUP(D2663,'报价表-配送'!$B$9:$I$13,8,0)+IF(AND(MOD(H2663,30)&gt;8,MOD(H2663,30)&lt;=18),1*VLOOKUP(D2663,'报价表-配送'!$B$9:$I$13,7,0),0)+IF(AND(MOD(H2663,30)&lt;=8,MOD(H2663,30)&gt;2.5),1,0)*VLOOKUP(D2663,'报价表-配送'!$B$9:$I$13,6,0)+IF(AND(MOD(H2663,30)&lt;=2.5,MOD(H2663,30)&gt;=1.5),1,0)*VLOOKUP(D2663,'报价表-配送'!$B$9:$I$13,5,0)</f>
        <v>0</v>
      </c>
      <c r="M2663" s="39">
        <f>IF(AND(MOD(H2663,30)&lt;1.5,MOD(H2663,30)&gt;=0.5),H2663,0)*VLOOKUP(D2663,'报价表-配送'!$B$9:$I$13,4,0)*1000+IF(AND(MOD(H2663,30)&lt;0.5,MOD(H2663,30)&gt;=0.02),H2663,0)*VLOOKUP(D2663,'报价表-配送'!$B$9:$I$13,3,0)*1000+IF(AND(MOD(H2663,30)&lt;0.02),H2663,0)*VLOOKUP(D2663,'报价表-配送'!$B$9:$I$13,2,0)*1000</f>
        <v>0</v>
      </c>
      <c r="N2663" s="38">
        <f t="shared" si="40"/>
        <v>0</v>
      </c>
    </row>
    <row r="2664" spans="1:14" x14ac:dyDescent="0.25">
      <c r="A2664" s="104" t="s">
        <v>83</v>
      </c>
      <c r="B2664" s="106" t="s">
        <v>462</v>
      </c>
      <c r="C2664" s="62">
        <f>VLOOKUP(B2664,合并仓明细!$D$2:$F$74,3,0)</f>
        <v>131</v>
      </c>
      <c r="D2664" s="103" t="s">
        <v>513</v>
      </c>
      <c r="E2664" s="103" t="s">
        <v>255</v>
      </c>
      <c r="F2664" s="105" t="s">
        <v>66</v>
      </c>
      <c r="G2664">
        <v>1000</v>
      </c>
      <c r="H2664">
        <v>1</v>
      </c>
      <c r="L2664" s="37">
        <f>IF(H2664&gt;30,QUOTIENT(H2664,30)*VLOOKUP(D2664,'报价表-配送'!$B$9:$I$13,8,0),0)+IF(AND(MOD(H2664,30)&gt;18,MOD(H2664,30)&lt;=30),1,0)*VLOOKUP(D2664,'报价表-配送'!$B$9:$I$13,8,0)+IF(AND(MOD(H2664,30)&gt;8,MOD(H2664,30)&lt;=18),1*VLOOKUP(D2664,'报价表-配送'!$B$9:$I$13,7,0),0)+IF(AND(MOD(H2664,30)&lt;=8,MOD(H2664,30)&gt;2.5),1,0)*VLOOKUP(D2664,'报价表-配送'!$B$9:$I$13,6,0)+IF(AND(MOD(H2664,30)&lt;=2.5,MOD(H2664,30)&gt;=1.5),1,0)*VLOOKUP(D2664,'报价表-配送'!$B$9:$I$13,5,0)</f>
        <v>0</v>
      </c>
      <c r="M2664" s="39">
        <f>IF(AND(MOD(H2664,30)&lt;1.5,MOD(H2664,30)&gt;=0.5),H2664,0)*VLOOKUP(D2664,'报价表-配送'!$B$9:$I$13,4,0)*1000+IF(AND(MOD(H2664,30)&lt;0.5,MOD(H2664,30)&gt;=0.02),H2664,0)*VLOOKUP(D2664,'报价表-配送'!$B$9:$I$13,3,0)*1000+IF(AND(MOD(H2664,30)&lt;0.02),H2664,0)*VLOOKUP(D2664,'报价表-配送'!$B$9:$I$13,2,0)*1000</f>
        <v>0</v>
      </c>
      <c r="N2664" s="38">
        <f t="shared" si="40"/>
        <v>0</v>
      </c>
    </row>
    <row r="2665" spans="1:14" x14ac:dyDescent="0.25">
      <c r="A2665" s="104" t="s">
        <v>83</v>
      </c>
      <c r="B2665" s="106" t="s">
        <v>462</v>
      </c>
      <c r="C2665" s="62">
        <f>VLOOKUP(B2665,合并仓明细!$D$2:$F$74,3,0)</f>
        <v>131</v>
      </c>
      <c r="D2665" s="103" t="s">
        <v>513</v>
      </c>
      <c r="E2665" s="103" t="s">
        <v>255</v>
      </c>
      <c r="F2665" s="105" t="s">
        <v>66</v>
      </c>
      <c r="G2665">
        <v>400</v>
      </c>
      <c r="H2665">
        <v>0.4</v>
      </c>
      <c r="L2665" s="37">
        <f>IF(H2665&gt;30,QUOTIENT(H2665,30)*VLOOKUP(D2665,'报价表-配送'!$B$9:$I$13,8,0),0)+IF(AND(MOD(H2665,30)&gt;18,MOD(H2665,30)&lt;=30),1,0)*VLOOKUP(D2665,'报价表-配送'!$B$9:$I$13,8,0)+IF(AND(MOD(H2665,30)&gt;8,MOD(H2665,30)&lt;=18),1*VLOOKUP(D2665,'报价表-配送'!$B$9:$I$13,7,0),0)+IF(AND(MOD(H2665,30)&lt;=8,MOD(H2665,30)&gt;2.5),1,0)*VLOOKUP(D2665,'报价表-配送'!$B$9:$I$13,6,0)+IF(AND(MOD(H2665,30)&lt;=2.5,MOD(H2665,30)&gt;=1.5),1,0)*VLOOKUP(D2665,'报价表-配送'!$B$9:$I$13,5,0)</f>
        <v>0</v>
      </c>
      <c r="M2665" s="39">
        <f>IF(AND(MOD(H2665,30)&lt;1.5,MOD(H2665,30)&gt;=0.5),H2665,0)*VLOOKUP(D2665,'报价表-配送'!$B$9:$I$13,4,0)*1000+IF(AND(MOD(H2665,30)&lt;0.5,MOD(H2665,30)&gt;=0.02),H2665,0)*VLOOKUP(D2665,'报价表-配送'!$B$9:$I$13,3,0)*1000+IF(AND(MOD(H2665,30)&lt;0.02),H2665,0)*VLOOKUP(D2665,'报价表-配送'!$B$9:$I$13,2,0)*1000</f>
        <v>0</v>
      </c>
      <c r="N2665" s="38">
        <f t="shared" si="40"/>
        <v>0</v>
      </c>
    </row>
    <row r="2666" spans="1:14" x14ac:dyDescent="0.25">
      <c r="A2666" s="104" t="s">
        <v>83</v>
      </c>
      <c r="B2666" s="106" t="s">
        <v>462</v>
      </c>
      <c r="C2666" s="62">
        <f>VLOOKUP(B2666,合并仓明细!$D$2:$F$74,3,0)</f>
        <v>131</v>
      </c>
      <c r="D2666" s="103" t="s">
        <v>513</v>
      </c>
      <c r="E2666" s="103" t="s">
        <v>255</v>
      </c>
      <c r="F2666" s="105" t="s">
        <v>66</v>
      </c>
      <c r="G2666">
        <v>2</v>
      </c>
      <c r="H2666">
        <v>2E-3</v>
      </c>
      <c r="L2666" s="37">
        <f>IF(H2666&gt;30,QUOTIENT(H2666,30)*VLOOKUP(D2666,'报价表-配送'!$B$9:$I$13,8,0),0)+IF(AND(MOD(H2666,30)&gt;18,MOD(H2666,30)&lt;=30),1,0)*VLOOKUP(D2666,'报价表-配送'!$B$9:$I$13,8,0)+IF(AND(MOD(H2666,30)&gt;8,MOD(H2666,30)&lt;=18),1*VLOOKUP(D2666,'报价表-配送'!$B$9:$I$13,7,0),0)+IF(AND(MOD(H2666,30)&lt;=8,MOD(H2666,30)&gt;2.5),1,0)*VLOOKUP(D2666,'报价表-配送'!$B$9:$I$13,6,0)+IF(AND(MOD(H2666,30)&lt;=2.5,MOD(H2666,30)&gt;=1.5),1,0)*VLOOKUP(D2666,'报价表-配送'!$B$9:$I$13,5,0)</f>
        <v>0</v>
      </c>
      <c r="M2666" s="39">
        <f>IF(AND(MOD(H2666,30)&lt;1.5,MOD(H2666,30)&gt;=0.5),H2666,0)*VLOOKUP(D2666,'报价表-配送'!$B$9:$I$13,4,0)*1000+IF(AND(MOD(H2666,30)&lt;0.5,MOD(H2666,30)&gt;=0.02),H2666,0)*VLOOKUP(D2666,'报价表-配送'!$B$9:$I$13,3,0)*1000+IF(AND(MOD(H2666,30)&lt;0.02),H2666,0)*VLOOKUP(D2666,'报价表-配送'!$B$9:$I$13,2,0)*1000</f>
        <v>0</v>
      </c>
      <c r="N2666" s="38">
        <f t="shared" si="40"/>
        <v>0</v>
      </c>
    </row>
    <row r="2667" spans="1:14" x14ac:dyDescent="0.25">
      <c r="A2667" s="1" t="s">
        <v>83</v>
      </c>
      <c r="B2667" s="1" t="s">
        <v>178</v>
      </c>
      <c r="C2667" s="62">
        <f>VLOOKUP(B2667,合并仓明细!$D$2:$F$74,3,0)</f>
        <v>104</v>
      </c>
      <c r="D2667" t="s">
        <v>413</v>
      </c>
      <c r="E2667" s="36" t="s">
        <v>310</v>
      </c>
      <c r="F2667" s="1" t="s">
        <v>67</v>
      </c>
      <c r="G2667" s="1">
        <v>1433.99</v>
      </c>
      <c r="H2667" s="35">
        <v>1.4849000000000001</v>
      </c>
      <c r="I2667" s="38">
        <f>IF(H2667&gt;30,QUOTIENT(H2667,30)*VLOOKUP(D2667,'报价表-配送'!$B$9:$I$13,8,0),0)+IF(AND(MOD(H2667,30)&gt;18,MOD(H2667,30)&lt;=30),1,0)*VLOOKUP(D2667,'报价表-配送'!$B$9:$I$13,8,0)</f>
        <v>0</v>
      </c>
      <c r="J2667" s="38">
        <f>IF(AND(MOD(H2667,30)&gt;8,MOD(H2667,30)&lt;=18),1*VLOOKUP(D2667,'报价表-配送'!$B$9:$I$13,7,0),0)</f>
        <v>0</v>
      </c>
      <c r="K2667" s="38">
        <f>IF(AND(MOD(H2667,30)&lt;=8,MOD(H2667,30)&gt;0),1,0)*VLOOKUP(D2667,'报价表-配送'!$B$9:$I$13,6,0)</f>
        <v>0</v>
      </c>
      <c r="N2667" s="38">
        <f t="shared" si="40"/>
        <v>0</v>
      </c>
    </row>
    <row r="2668" spans="1:14" x14ac:dyDescent="0.25">
      <c r="A2668" s="1" t="s">
        <v>83</v>
      </c>
      <c r="B2668" s="1" t="s">
        <v>178</v>
      </c>
      <c r="C2668" s="62">
        <f>VLOOKUP(B2668,合并仓明细!$D$2:$F$74,3,0)</f>
        <v>104</v>
      </c>
      <c r="D2668" t="s">
        <v>413</v>
      </c>
      <c r="E2668" s="36" t="s">
        <v>310</v>
      </c>
      <c r="F2668" s="1" t="s">
        <v>66</v>
      </c>
      <c r="G2668" s="1">
        <v>50.910000000000011</v>
      </c>
      <c r="N2668" s="38">
        <f t="shared" si="40"/>
        <v>0</v>
      </c>
    </row>
    <row r="2669" spans="1:14" x14ac:dyDescent="0.25">
      <c r="A2669" s="1" t="s">
        <v>83</v>
      </c>
      <c r="B2669" s="1" t="s">
        <v>178</v>
      </c>
      <c r="C2669" s="62">
        <f>VLOOKUP(B2669,合并仓明细!$D$2:$F$74,3,0)</f>
        <v>104</v>
      </c>
      <c r="D2669" t="s">
        <v>413</v>
      </c>
      <c r="E2669" s="36" t="s">
        <v>246</v>
      </c>
      <c r="F2669" s="1" t="s">
        <v>66</v>
      </c>
      <c r="G2669" s="1">
        <v>12.25</v>
      </c>
      <c r="H2669" s="35">
        <v>1.225E-2</v>
      </c>
      <c r="L2669" s="37">
        <f>IF(H2669&gt;30,QUOTIENT(H2669,30)*VLOOKUP(D2669,'报价表-配送'!$B$9:$I$13,8,0),0)+IF(AND(MOD(H2669,30)&gt;18,MOD(H2669,30)&lt;=30),1,0)*VLOOKUP(D2669,'报价表-配送'!$B$9:$I$13,8,0)+IF(AND(MOD(H2669,30)&gt;8,MOD(H2669,30)&lt;=18),1*VLOOKUP(D2669,'报价表-配送'!$B$9:$I$13,7,0),0)+IF(AND(MOD(H2669,30)&lt;=8,MOD(H2669,30)&gt;2.5),1,0)*VLOOKUP(D2669,'报价表-配送'!$B$9:$I$13,6,0)+IF(AND(MOD(H2669,30)&lt;=2.5,MOD(H2669,30)&gt;=1.5),1,0)*VLOOKUP(D2669,'报价表-配送'!$B$9:$I$13,5,0)</f>
        <v>0</v>
      </c>
      <c r="M2669" s="39">
        <f>IF(AND(MOD(H2669,30)&lt;1.5,MOD(H2669,30)&gt;=0.5),H2669,0)*VLOOKUP(D2669,'报价表-配送'!$B$9:$I$13,4,0)*1000+IF(AND(MOD(H2669,30)&lt;0.5,MOD(H2669,30)&gt;=0.02),H2669,0)*VLOOKUP(D2669,'报价表-配送'!$B$9:$I$13,3,0)*1000+IF(AND(MOD(H2669,30)&lt;0.02),H2669,0)*VLOOKUP(D2669,'报价表-配送'!$B$9:$I$13,2,0)*1000</f>
        <v>0</v>
      </c>
      <c r="N2669" s="38">
        <f t="shared" si="40"/>
        <v>0</v>
      </c>
    </row>
    <row r="2670" spans="1:14" x14ac:dyDescent="0.25">
      <c r="A2670" s="1" t="s">
        <v>83</v>
      </c>
      <c r="B2670" s="1" t="s">
        <v>178</v>
      </c>
      <c r="C2670" s="62">
        <f>VLOOKUP(B2670,合并仓明细!$D$2:$F$74,3,0)</f>
        <v>104</v>
      </c>
      <c r="D2670" t="s">
        <v>413</v>
      </c>
      <c r="E2670" s="36" t="s">
        <v>283</v>
      </c>
      <c r="F2670" s="1" t="s">
        <v>67</v>
      </c>
      <c r="G2670" s="1">
        <v>5538.3700000000008</v>
      </c>
      <c r="H2670" s="35">
        <v>7.5872600000000014</v>
      </c>
      <c r="I2670" s="38">
        <f>IF(H2670&gt;30,QUOTIENT(H2670,30)*VLOOKUP(D2670,'报价表-配送'!$B$9:$I$13,8,0),0)+IF(AND(MOD(H2670,30)&gt;18,MOD(H2670,30)&lt;=30),1,0)*VLOOKUP(D2670,'报价表-配送'!$B$9:$I$13,8,0)</f>
        <v>0</v>
      </c>
      <c r="J2670" s="38">
        <f>IF(AND(MOD(H2670,30)&gt;8,MOD(H2670,30)&lt;=18),1*VLOOKUP(D2670,'报价表-配送'!$B$9:$I$13,7,0),0)</f>
        <v>0</v>
      </c>
      <c r="K2670" s="38">
        <f>IF(AND(MOD(H2670,30)&lt;=8,MOD(H2670,30)&gt;0),1,0)*VLOOKUP(D2670,'报价表-配送'!$B$9:$I$13,6,0)</f>
        <v>0</v>
      </c>
      <c r="N2670" s="38">
        <f t="shared" si="40"/>
        <v>0</v>
      </c>
    </row>
    <row r="2671" spans="1:14" x14ac:dyDescent="0.25">
      <c r="A2671" s="1" t="s">
        <v>83</v>
      </c>
      <c r="B2671" s="1" t="s">
        <v>178</v>
      </c>
      <c r="C2671" s="62">
        <f>VLOOKUP(B2671,合并仓明细!$D$2:$F$74,3,0)</f>
        <v>104</v>
      </c>
      <c r="D2671" t="s">
        <v>413</v>
      </c>
      <c r="E2671" s="36" t="s">
        <v>283</v>
      </c>
      <c r="F2671" s="1" t="s">
        <v>66</v>
      </c>
      <c r="G2671" s="1">
        <v>2048.8900000000003</v>
      </c>
      <c r="N2671" s="38">
        <f t="shared" si="40"/>
        <v>0</v>
      </c>
    </row>
    <row r="2672" spans="1:14" x14ac:dyDescent="0.25">
      <c r="A2672" s="1" t="s">
        <v>83</v>
      </c>
      <c r="B2672" s="1" t="s">
        <v>178</v>
      </c>
      <c r="C2672" s="62">
        <f>VLOOKUP(B2672,合并仓明细!$D$2:$F$74,3,0)</f>
        <v>104</v>
      </c>
      <c r="D2672" t="s">
        <v>413</v>
      </c>
      <c r="E2672" s="36" t="s">
        <v>370</v>
      </c>
      <c r="F2672" s="1" t="s">
        <v>66</v>
      </c>
      <c r="G2672" s="1">
        <v>10.5</v>
      </c>
      <c r="H2672" s="35">
        <v>1.0500000000000001E-2</v>
      </c>
      <c r="L2672" s="37">
        <f>IF(H2672&gt;30,QUOTIENT(H2672,30)*VLOOKUP(D2672,'报价表-配送'!$B$9:$I$13,8,0),0)+IF(AND(MOD(H2672,30)&gt;18,MOD(H2672,30)&lt;=30),1,0)*VLOOKUP(D2672,'报价表-配送'!$B$9:$I$13,8,0)+IF(AND(MOD(H2672,30)&gt;8,MOD(H2672,30)&lt;=18),1*VLOOKUP(D2672,'报价表-配送'!$B$9:$I$13,7,0),0)+IF(AND(MOD(H2672,30)&lt;=8,MOD(H2672,30)&gt;2.5),1,0)*VLOOKUP(D2672,'报价表-配送'!$B$9:$I$13,6,0)+IF(AND(MOD(H2672,30)&lt;=2.5,MOD(H2672,30)&gt;=1.5),1,0)*VLOOKUP(D2672,'报价表-配送'!$B$9:$I$13,5,0)</f>
        <v>0</v>
      </c>
      <c r="M2672" s="39">
        <f>IF(AND(MOD(H2672,30)&lt;1.5,MOD(H2672,30)&gt;=0.5),H2672,0)*VLOOKUP(D2672,'报价表-配送'!$B$9:$I$13,4,0)*1000+IF(AND(MOD(H2672,30)&lt;0.5,MOD(H2672,30)&gt;=0.02),H2672,0)*VLOOKUP(D2672,'报价表-配送'!$B$9:$I$13,3,0)*1000+IF(AND(MOD(H2672,30)&lt;0.02),H2672,0)*VLOOKUP(D2672,'报价表-配送'!$B$9:$I$13,2,0)*1000</f>
        <v>0</v>
      </c>
      <c r="N2672" s="38">
        <f t="shared" si="40"/>
        <v>0</v>
      </c>
    </row>
    <row r="2673" spans="1:14" x14ac:dyDescent="0.25">
      <c r="A2673" s="1" t="s">
        <v>83</v>
      </c>
      <c r="B2673" s="1" t="s">
        <v>178</v>
      </c>
      <c r="C2673" s="62">
        <f>VLOOKUP(B2673,合并仓明细!$D$2:$F$74,3,0)</f>
        <v>104</v>
      </c>
      <c r="D2673" t="s">
        <v>413</v>
      </c>
      <c r="E2673" s="36" t="s">
        <v>327</v>
      </c>
      <c r="F2673" s="1" t="s">
        <v>67</v>
      </c>
      <c r="G2673" s="1">
        <v>635.57000000000005</v>
      </c>
      <c r="H2673" s="35">
        <v>0.71967000000000003</v>
      </c>
      <c r="I2673" s="38">
        <f>IF(H2673&gt;30,QUOTIENT(H2673,30)*VLOOKUP(D2673,'报价表-配送'!$B$9:$I$13,8,0),0)+IF(AND(MOD(H2673,30)&gt;18,MOD(H2673,30)&lt;=30),1,0)*VLOOKUP(D2673,'报价表-配送'!$B$9:$I$13,8,0)</f>
        <v>0</v>
      </c>
      <c r="J2673" s="38">
        <f>IF(AND(MOD(H2673,30)&gt;8,MOD(H2673,30)&lt;=18),1*VLOOKUP(D2673,'报价表-配送'!$B$9:$I$13,7,0),0)</f>
        <v>0</v>
      </c>
      <c r="K2673" s="38">
        <f>IF(AND(MOD(H2673,30)&lt;=8,MOD(H2673,30)&gt;0),1,0)*VLOOKUP(D2673,'报价表-配送'!$B$9:$I$13,6,0)</f>
        <v>0</v>
      </c>
      <c r="N2673" s="38">
        <f t="shared" si="40"/>
        <v>0</v>
      </c>
    </row>
    <row r="2674" spans="1:14" x14ac:dyDescent="0.25">
      <c r="A2674" s="1" t="s">
        <v>83</v>
      </c>
      <c r="B2674" s="1" t="s">
        <v>178</v>
      </c>
      <c r="C2674" s="62">
        <f>VLOOKUP(B2674,合并仓明细!$D$2:$F$74,3,0)</f>
        <v>104</v>
      </c>
      <c r="D2674" t="s">
        <v>413</v>
      </c>
      <c r="E2674" s="36" t="s">
        <v>327</v>
      </c>
      <c r="F2674" s="1" t="s">
        <v>66</v>
      </c>
      <c r="G2674" s="1">
        <v>84.100000000000009</v>
      </c>
      <c r="N2674" s="38">
        <f t="shared" ref="N2674:N2743" si="41">SUM(I2674:M2674)</f>
        <v>0</v>
      </c>
    </row>
    <row r="2675" spans="1:14" x14ac:dyDescent="0.25">
      <c r="A2675" s="1" t="s">
        <v>83</v>
      </c>
      <c r="B2675" s="1" t="s">
        <v>178</v>
      </c>
      <c r="C2675" s="62">
        <f>VLOOKUP(B2675,合并仓明细!$D$2:$F$74,3,0)</f>
        <v>104</v>
      </c>
      <c r="D2675" t="s">
        <v>413</v>
      </c>
      <c r="E2675" s="36" t="s">
        <v>365</v>
      </c>
      <c r="F2675" s="1" t="s">
        <v>67</v>
      </c>
      <c r="G2675" s="1">
        <v>3110.75</v>
      </c>
      <c r="H2675" s="35">
        <v>3.4556800000000001</v>
      </c>
      <c r="I2675" s="38">
        <f>IF(H2675&gt;30,QUOTIENT(H2675,30)*VLOOKUP(D2675,'报价表-配送'!$B$9:$I$13,8,0),0)+IF(AND(MOD(H2675,30)&gt;18,MOD(H2675,30)&lt;=30),1,0)*VLOOKUP(D2675,'报价表-配送'!$B$9:$I$13,8,0)</f>
        <v>0</v>
      </c>
      <c r="J2675" s="38">
        <f>IF(AND(MOD(H2675,30)&gt;8,MOD(H2675,30)&lt;=18),1*VLOOKUP(D2675,'报价表-配送'!$B$9:$I$13,7,0),0)</f>
        <v>0</v>
      </c>
      <c r="K2675" s="38">
        <f>IF(AND(MOD(H2675,30)&lt;=8,MOD(H2675,30)&gt;0),1,0)*VLOOKUP(D2675,'报价表-配送'!$B$9:$I$13,6,0)</f>
        <v>0</v>
      </c>
      <c r="N2675" s="38">
        <f t="shared" si="41"/>
        <v>0</v>
      </c>
    </row>
    <row r="2676" spans="1:14" x14ac:dyDescent="0.25">
      <c r="A2676" s="1" t="s">
        <v>83</v>
      </c>
      <c r="B2676" s="1" t="s">
        <v>178</v>
      </c>
      <c r="C2676" s="62">
        <f>VLOOKUP(B2676,合并仓明细!$D$2:$F$74,3,0)</f>
        <v>104</v>
      </c>
      <c r="D2676" t="s">
        <v>413</v>
      </c>
      <c r="E2676" s="36" t="s">
        <v>365</v>
      </c>
      <c r="F2676" s="1" t="s">
        <v>66</v>
      </c>
      <c r="G2676" s="1">
        <v>344.93000000000006</v>
      </c>
      <c r="N2676" s="38">
        <f t="shared" si="41"/>
        <v>0</v>
      </c>
    </row>
    <row r="2677" spans="1:14" x14ac:dyDescent="0.25">
      <c r="A2677" s="1" t="s">
        <v>83</v>
      </c>
      <c r="B2677" s="1" t="s">
        <v>178</v>
      </c>
      <c r="C2677" s="62">
        <f>VLOOKUP(B2677,合并仓明细!$D$2:$F$74,3,0)</f>
        <v>104</v>
      </c>
      <c r="D2677" t="s">
        <v>413</v>
      </c>
      <c r="E2677" s="36" t="s">
        <v>356</v>
      </c>
      <c r="F2677" s="1" t="s">
        <v>66</v>
      </c>
      <c r="G2677" s="1">
        <v>7.2</v>
      </c>
      <c r="H2677" s="35">
        <v>7.1999999999999998E-3</v>
      </c>
      <c r="L2677" s="37">
        <f>IF(H2677&gt;30,QUOTIENT(H2677,30)*VLOOKUP(D2677,'报价表-配送'!$B$9:$I$13,8,0),0)+IF(AND(MOD(H2677,30)&gt;18,MOD(H2677,30)&lt;=30),1,0)*VLOOKUP(D2677,'报价表-配送'!$B$9:$I$13,8,0)+IF(AND(MOD(H2677,30)&gt;8,MOD(H2677,30)&lt;=18),1*VLOOKUP(D2677,'报价表-配送'!$B$9:$I$13,7,0),0)+IF(AND(MOD(H2677,30)&lt;=8,MOD(H2677,30)&gt;2.5),1,0)*VLOOKUP(D2677,'报价表-配送'!$B$9:$I$13,6,0)+IF(AND(MOD(H2677,30)&lt;=2.5,MOD(H2677,30)&gt;=1.5),1,0)*VLOOKUP(D2677,'报价表-配送'!$B$9:$I$13,5,0)</f>
        <v>0</v>
      </c>
      <c r="M2677" s="39">
        <f>IF(AND(MOD(H2677,30)&lt;1.5,MOD(H2677,30)&gt;=0.5),H2677,0)*VLOOKUP(D2677,'报价表-配送'!$B$9:$I$13,4,0)*1000+IF(AND(MOD(H2677,30)&lt;0.5,MOD(H2677,30)&gt;=0.02),H2677,0)*VLOOKUP(D2677,'报价表-配送'!$B$9:$I$13,3,0)*1000+IF(AND(MOD(H2677,30)&lt;0.02),H2677,0)*VLOOKUP(D2677,'报价表-配送'!$B$9:$I$13,2,0)*1000</f>
        <v>0</v>
      </c>
      <c r="N2677" s="38">
        <f t="shared" si="41"/>
        <v>0</v>
      </c>
    </row>
    <row r="2678" spans="1:14" x14ac:dyDescent="0.25">
      <c r="A2678" t="s">
        <v>78</v>
      </c>
      <c r="B2678" t="s">
        <v>154</v>
      </c>
      <c r="C2678" s="62">
        <f>VLOOKUP(B2678,合并仓明细!$D$2:$F$74,3,0)</f>
        <v>44</v>
      </c>
      <c r="D2678" t="s">
        <v>393</v>
      </c>
      <c r="E2678" t="s">
        <v>452</v>
      </c>
      <c r="F2678" t="s">
        <v>66</v>
      </c>
      <c r="G2678">
        <v>1236.6399999999994</v>
      </c>
      <c r="H2678">
        <v>1.2366399999999995</v>
      </c>
      <c r="L2678" s="37">
        <f>IF(H2678&gt;30,QUOTIENT(H2678,30)*VLOOKUP(D2678,'报价表-配送'!$B$68:$I$72,8,0),0)+IF(AND(MOD(H2678,30)&gt;18,MOD(H2678,30)&lt;=30),1,0)*VLOOKUP(D2678,'报价表-配送'!$B$68:$I$72,8,0)+IF(AND(MOD(H2678,30)&gt;8,MOD(H2678,30)&lt;=18),1*VLOOKUP(D2678,'报价表-配送'!$B$68:$I$72,7,0),0)+IF(AND(MOD(H2678,30)&lt;=8,MOD(H2678,30)&gt;2.5),1,0)*VLOOKUP(D2678,'报价表-配送'!$B$68:$I$72,6,0)+IF(AND(MOD(H2678,30)&lt;=2.5,MOD(H2678,30)&gt;=1.5),1,0)*VLOOKUP(D2678,'报价表-配送'!$B$68:$I$72,5,0)</f>
        <v>0</v>
      </c>
      <c r="M2678" s="39">
        <f>IF(AND(MOD(H2678,30)&lt;1.5,MOD(H2678,30)&gt;=0.5),H2678,0)*VLOOKUP(D2678,'报价表-配送'!$B$68:$I$72,4,0)*1000+IF(AND(MOD(H2678,30)&lt;0.5,MOD(H2678,30)&gt;=0.02),H2678,0)*VLOOKUP(D2678,'报价表-配送'!$B$68:$I$72,3,0)*1000+IF(AND(MOD(H2678,30)&lt;0.02),H2678,0)*VLOOKUP(D2678,'报价表-配送'!$B$68:$I$72,2,0)*1000</f>
        <v>0</v>
      </c>
      <c r="N2678" s="38">
        <f t="shared" si="41"/>
        <v>0</v>
      </c>
    </row>
    <row r="2679" spans="1:14" x14ac:dyDescent="0.25">
      <c r="A2679" t="s">
        <v>78</v>
      </c>
      <c r="B2679" t="s">
        <v>154</v>
      </c>
      <c r="C2679" s="62">
        <f>VLOOKUP(B2679,合并仓明细!$D$2:$F$74,3,0)</f>
        <v>44</v>
      </c>
      <c r="D2679" t="s">
        <v>393</v>
      </c>
      <c r="E2679" t="s">
        <v>453</v>
      </c>
      <c r="F2679" t="s">
        <v>68</v>
      </c>
      <c r="G2679">
        <v>3415.61</v>
      </c>
      <c r="H2679">
        <v>6.47201</v>
      </c>
      <c r="I2679" s="59">
        <f>ROUNDUP(H2679/30,0)*VLOOKUP(D2679,'报价表-配送'!$B$68:$I$72,8,0)</f>
        <v>0</v>
      </c>
      <c r="N2679" s="38">
        <f t="shared" si="41"/>
        <v>0</v>
      </c>
    </row>
    <row r="2680" spans="1:14" x14ac:dyDescent="0.25">
      <c r="A2680" t="s">
        <v>78</v>
      </c>
      <c r="B2680" t="s">
        <v>154</v>
      </c>
      <c r="C2680" s="62">
        <f>VLOOKUP(B2680,合并仓明细!$D$2:$F$74,3,0)</f>
        <v>44</v>
      </c>
      <c r="D2680" t="s">
        <v>393</v>
      </c>
      <c r="E2680" t="s">
        <v>453</v>
      </c>
      <c r="F2680" t="s">
        <v>67</v>
      </c>
      <c r="G2680">
        <v>423.52</v>
      </c>
      <c r="H2680"/>
      <c r="N2680" s="38">
        <f t="shared" si="41"/>
        <v>0</v>
      </c>
    </row>
    <row r="2681" spans="1:14" x14ac:dyDescent="0.25">
      <c r="A2681" t="s">
        <v>78</v>
      </c>
      <c r="B2681" t="s">
        <v>154</v>
      </c>
      <c r="C2681" s="62">
        <f>VLOOKUP(B2681,合并仓明细!$D$2:$F$74,3,0)</f>
        <v>44</v>
      </c>
      <c r="D2681" t="s">
        <v>393</v>
      </c>
      <c r="E2681" t="s">
        <v>453</v>
      </c>
      <c r="F2681" t="s">
        <v>66</v>
      </c>
      <c r="G2681">
        <v>2632.88</v>
      </c>
      <c r="H2681"/>
      <c r="N2681" s="38">
        <f t="shared" si="41"/>
        <v>0</v>
      </c>
    </row>
    <row r="2682" spans="1:14" x14ac:dyDescent="0.25">
      <c r="A2682" t="s">
        <v>78</v>
      </c>
      <c r="B2682" t="s">
        <v>154</v>
      </c>
      <c r="C2682" s="62">
        <f>VLOOKUP(B2682,合并仓明细!$D$2:$F$74,3,0)</f>
        <v>44</v>
      </c>
      <c r="D2682" t="s">
        <v>393</v>
      </c>
      <c r="E2682" t="s">
        <v>442</v>
      </c>
      <c r="F2682" t="s">
        <v>67</v>
      </c>
      <c r="G2682">
        <v>87.89</v>
      </c>
      <c r="H2682">
        <v>3.6232900000000003</v>
      </c>
      <c r="I2682" s="38">
        <f>IF(H2682&gt;30,QUOTIENT(H2682,30)*VLOOKUP(D2682,'报价表-配送'!$B$68:$I$72,8,0),0)+IF(AND(MOD(H2682,30)&gt;18,MOD(H2682,30)&lt;=30),1,0)*VLOOKUP(D2682,'报价表-配送'!$B$68:$I$72,8,0)</f>
        <v>0</v>
      </c>
      <c r="J2682" s="38">
        <f>IF(AND(MOD(H2682,30)&gt;8,MOD(H2682,30)&lt;=18),1*VLOOKUP(D2682,'报价表-配送'!$B$68:$I$72,7,0),0)</f>
        <v>0</v>
      </c>
      <c r="K2682" s="37">
        <f>IF(AND(MOD(H2682,30)&lt;=8,MOD(H2682,30)&gt;0),1,0)*VLOOKUP(D2682,'报价表-配送'!$B$68:$I$72,6,0)</f>
        <v>0</v>
      </c>
      <c r="N2682" s="38">
        <f t="shared" si="41"/>
        <v>0</v>
      </c>
    </row>
    <row r="2683" spans="1:14" x14ac:dyDescent="0.25">
      <c r="A2683" t="s">
        <v>78</v>
      </c>
      <c r="B2683" t="s">
        <v>154</v>
      </c>
      <c r="C2683" s="62">
        <f>VLOOKUP(B2683,合并仓明细!$D$2:$F$74,3,0)</f>
        <v>44</v>
      </c>
      <c r="D2683" t="s">
        <v>393</v>
      </c>
      <c r="E2683" t="s">
        <v>442</v>
      </c>
      <c r="F2683" t="s">
        <v>66</v>
      </c>
      <c r="G2683">
        <v>3535.4000000000005</v>
      </c>
      <c r="H2683"/>
      <c r="N2683" s="38">
        <f t="shared" si="41"/>
        <v>0</v>
      </c>
    </row>
    <row r="2684" spans="1:14" x14ac:dyDescent="0.25">
      <c r="A2684" t="s">
        <v>78</v>
      </c>
      <c r="B2684" t="s">
        <v>154</v>
      </c>
      <c r="C2684" s="62">
        <f>VLOOKUP(B2684,合并仓明细!$D$2:$F$74,3,0)</f>
        <v>44</v>
      </c>
      <c r="D2684" t="s">
        <v>393</v>
      </c>
      <c r="E2684" t="s">
        <v>443</v>
      </c>
      <c r="F2684" t="s">
        <v>67</v>
      </c>
      <c r="G2684">
        <v>7353.44</v>
      </c>
      <c r="H2684">
        <v>10.4223</v>
      </c>
      <c r="I2684" s="38">
        <f>IF(H2684&gt;30,QUOTIENT(H2684,30)*VLOOKUP(D2684,'报价表-配送'!$B$68:$I$72,8,0),0)+IF(AND(MOD(H2684,30)&gt;18,MOD(H2684,30)&lt;=30),1,0)*VLOOKUP(D2684,'报价表-配送'!$B$68:$I$72,8,0)</f>
        <v>0</v>
      </c>
      <c r="J2684" s="38">
        <f>IF(AND(MOD(H2684,30)&gt;8,MOD(H2684,30)&lt;=18),1*VLOOKUP(D2684,'报价表-配送'!$B$68:$I$72,7,0),0)</f>
        <v>0</v>
      </c>
      <c r="K2684" s="37">
        <f>IF(AND(MOD(H2684,30)&lt;=8,MOD(H2684,30)&gt;0),1,0)*VLOOKUP(D2684,'报价表-配送'!$B$68:$I$72,6,0)</f>
        <v>0</v>
      </c>
      <c r="N2684" s="38">
        <f t="shared" si="41"/>
        <v>0</v>
      </c>
    </row>
    <row r="2685" spans="1:14" x14ac:dyDescent="0.25">
      <c r="A2685" t="s">
        <v>78</v>
      </c>
      <c r="B2685" t="s">
        <v>154</v>
      </c>
      <c r="C2685" s="62">
        <f>VLOOKUP(B2685,合并仓明细!$D$2:$F$74,3,0)</f>
        <v>44</v>
      </c>
      <c r="D2685" t="s">
        <v>393</v>
      </c>
      <c r="E2685" t="s">
        <v>443</v>
      </c>
      <c r="F2685" t="s">
        <v>66</v>
      </c>
      <c r="G2685">
        <v>3068.8600000000006</v>
      </c>
      <c r="H2685"/>
      <c r="N2685" s="38">
        <f t="shared" si="41"/>
        <v>0</v>
      </c>
    </row>
    <row r="2686" spans="1:14" x14ac:dyDescent="0.25">
      <c r="A2686" t="s">
        <v>78</v>
      </c>
      <c r="B2686" t="s">
        <v>154</v>
      </c>
      <c r="C2686" s="62">
        <f>VLOOKUP(B2686,合并仓明细!$D$2:$F$74,3,0)</f>
        <v>44</v>
      </c>
      <c r="D2686" t="s">
        <v>393</v>
      </c>
      <c r="E2686" t="s">
        <v>454</v>
      </c>
      <c r="F2686" t="s">
        <v>68</v>
      </c>
      <c r="G2686">
        <v>126.88</v>
      </c>
      <c r="H2686" s="103">
        <v>0.14710000000000001</v>
      </c>
      <c r="I2686" s="59">
        <f>ROUNDUP(H2686/30,0)*VLOOKUP(D2686,'报价表-配送'!$B$68:$I$72,8,0)</f>
        <v>0</v>
      </c>
      <c r="N2686" s="38">
        <f t="shared" si="41"/>
        <v>0</v>
      </c>
    </row>
    <row r="2687" spans="1:14" x14ac:dyDescent="0.25">
      <c r="A2687" t="s">
        <v>78</v>
      </c>
      <c r="B2687" t="s">
        <v>154</v>
      </c>
      <c r="C2687" s="62">
        <f>VLOOKUP(B2687,合并仓明细!$D$2:$F$74,3,0)</f>
        <v>44</v>
      </c>
      <c r="D2687" t="s">
        <v>393</v>
      </c>
      <c r="E2687" t="s">
        <v>454</v>
      </c>
      <c r="F2687" t="s">
        <v>67</v>
      </c>
      <c r="G2687">
        <v>20.22</v>
      </c>
      <c r="H2687"/>
      <c r="N2687" s="38">
        <f t="shared" si="41"/>
        <v>0</v>
      </c>
    </row>
    <row r="2688" spans="1:14" x14ac:dyDescent="0.25">
      <c r="A2688" t="s">
        <v>78</v>
      </c>
      <c r="B2688" t="s">
        <v>154</v>
      </c>
      <c r="C2688" s="62">
        <f>VLOOKUP(B2688,合并仓明细!$D$2:$F$74,3,0)</f>
        <v>44</v>
      </c>
      <c r="D2688" t="s">
        <v>393</v>
      </c>
      <c r="E2688" t="s">
        <v>454</v>
      </c>
      <c r="F2688" t="s">
        <v>66</v>
      </c>
      <c r="G2688" s="103">
        <v>1586.66</v>
      </c>
      <c r="H2688" s="103">
        <v>1.5866600000000002</v>
      </c>
      <c r="L2688" s="37">
        <f>IF(H2688&gt;30,QUOTIENT(H2688,30)*VLOOKUP(D2688,'报价表-配送'!$B$68:$I$72,8,0),0)+IF(AND(MOD(H2688,30)&gt;18,MOD(H2688,30)&lt;=30),1,0)*VLOOKUP(D2688,'报价表-配送'!$B$68:$I$72,8,0)+IF(AND(MOD(H2688,30)&gt;8,MOD(H2688,30)&lt;=18),1*VLOOKUP(D2688,'报价表-配送'!$B$68:$I$72,7,0),0)+IF(AND(MOD(H2688,30)&lt;=8,MOD(H2688,30)&gt;2.5),1,0)*VLOOKUP(D2688,'报价表-配送'!$B$68:$I$72,6,0)+IF(AND(MOD(H2688,30)&lt;=2.5,MOD(H2688,30)&gt;=1.5),1,0)*VLOOKUP(D2688,'报价表-配送'!$B$68:$I$72,5,0)</f>
        <v>0</v>
      </c>
      <c r="M2688" s="39">
        <f>IF(AND(MOD(H2688,30)&lt;1.5,MOD(H2688,30)&gt;=0.5),H2688,0)*VLOOKUP(D2688,'报价表-配送'!$B$68:$I$72,4,0)*1000+IF(AND(MOD(H2688,30)&lt;0.5,MOD(H2688,30)&gt;=0.02),H2688,0)*VLOOKUP(D2688,'报价表-配送'!$B$68:$I$72,3,0)*1000+IF(AND(MOD(H2688,30)&lt;0.02),H2688,0)*VLOOKUP(D2688,'报价表-配送'!$B$68:$I$72,2,0)*1000</f>
        <v>0</v>
      </c>
      <c r="N2688" s="38">
        <f t="shared" si="41"/>
        <v>0</v>
      </c>
    </row>
    <row r="2689" spans="1:14" x14ac:dyDescent="0.25">
      <c r="A2689" t="s">
        <v>78</v>
      </c>
      <c r="B2689" t="s">
        <v>154</v>
      </c>
      <c r="C2689" s="62">
        <f>VLOOKUP(B2689,合并仓明细!$D$2:$F$74,3,0)</f>
        <v>44</v>
      </c>
      <c r="D2689" t="s">
        <v>393</v>
      </c>
      <c r="E2689" t="s">
        <v>444</v>
      </c>
      <c r="F2689" t="s">
        <v>68</v>
      </c>
      <c r="G2689">
        <v>1589.0200000000002</v>
      </c>
      <c r="H2689">
        <v>8.8637099999999993</v>
      </c>
      <c r="I2689" s="59">
        <f>ROUNDUP(H2689/30,0)*VLOOKUP(D2689,'报价表-配送'!$B$68:$I$72,8,0)</f>
        <v>0</v>
      </c>
      <c r="N2689" s="38">
        <f t="shared" si="41"/>
        <v>0</v>
      </c>
    </row>
    <row r="2690" spans="1:14" x14ac:dyDescent="0.25">
      <c r="A2690" t="s">
        <v>78</v>
      </c>
      <c r="B2690" t="s">
        <v>154</v>
      </c>
      <c r="C2690" s="62">
        <f>VLOOKUP(B2690,合并仓明细!$D$2:$F$74,3,0)</f>
        <v>44</v>
      </c>
      <c r="D2690" t="s">
        <v>393</v>
      </c>
      <c r="E2690" t="s">
        <v>444</v>
      </c>
      <c r="F2690" t="s">
        <v>67</v>
      </c>
      <c r="G2690">
        <v>2862.44</v>
      </c>
      <c r="H2690"/>
      <c r="N2690" s="38">
        <f t="shared" si="41"/>
        <v>0</v>
      </c>
    </row>
    <row r="2691" spans="1:14" x14ac:dyDescent="0.25">
      <c r="A2691" t="s">
        <v>78</v>
      </c>
      <c r="B2691" t="s">
        <v>154</v>
      </c>
      <c r="C2691" s="62">
        <f>VLOOKUP(B2691,合并仓明细!$D$2:$F$74,3,0)</f>
        <v>44</v>
      </c>
      <c r="D2691" t="s">
        <v>393</v>
      </c>
      <c r="E2691" t="s">
        <v>444</v>
      </c>
      <c r="F2691" t="s">
        <v>66</v>
      </c>
      <c r="G2691">
        <v>4412.25</v>
      </c>
      <c r="H2691"/>
      <c r="N2691" s="38">
        <f t="shared" si="41"/>
        <v>0</v>
      </c>
    </row>
    <row r="2692" spans="1:14" x14ac:dyDescent="0.25">
      <c r="A2692" t="s">
        <v>78</v>
      </c>
      <c r="B2692" t="s">
        <v>154</v>
      </c>
      <c r="C2692" s="62">
        <f>VLOOKUP(B2692,合并仓明细!$D$2:$F$74,3,0)</f>
        <v>44</v>
      </c>
      <c r="D2692" t="s">
        <v>393</v>
      </c>
      <c r="E2692" t="s">
        <v>445</v>
      </c>
      <c r="F2692" t="s">
        <v>67</v>
      </c>
      <c r="G2692">
        <v>2235.1900000000005</v>
      </c>
      <c r="H2692">
        <v>2.6489000000000007</v>
      </c>
      <c r="I2692" s="38">
        <f>IF(H2692&gt;30,QUOTIENT(H2692,30)*VLOOKUP(D2692,'报价表-配送'!$B$68:$I$72,8,0),0)+IF(AND(MOD(H2692,30)&gt;18,MOD(H2692,30)&lt;=30),1,0)*VLOOKUP(D2692,'报价表-配送'!$B$68:$I$72,8,0)</f>
        <v>0</v>
      </c>
      <c r="J2692" s="38">
        <f>IF(AND(MOD(H2692,30)&gt;8,MOD(H2692,30)&lt;=18),1*VLOOKUP(D2692,'报价表-配送'!$B$68:$I$72,7,0),0)</f>
        <v>0</v>
      </c>
      <c r="K2692" s="37">
        <f>IF(AND(MOD(H2692,30)&lt;=8,MOD(H2692,30)&gt;0),1,0)*VLOOKUP(D2692,'报价表-配送'!$B$68:$I$72,6,0)</f>
        <v>0</v>
      </c>
      <c r="N2692" s="38">
        <f t="shared" si="41"/>
        <v>0</v>
      </c>
    </row>
    <row r="2693" spans="1:14" x14ac:dyDescent="0.25">
      <c r="A2693" t="s">
        <v>78</v>
      </c>
      <c r="B2693" t="s">
        <v>154</v>
      </c>
      <c r="C2693" s="62">
        <f>VLOOKUP(B2693,合并仓明细!$D$2:$F$74,3,0)</f>
        <v>44</v>
      </c>
      <c r="D2693" t="s">
        <v>393</v>
      </c>
      <c r="E2693" t="s">
        <v>445</v>
      </c>
      <c r="F2693" t="s">
        <v>66</v>
      </c>
      <c r="G2693">
        <v>413.71000000000004</v>
      </c>
      <c r="H2693"/>
      <c r="N2693" s="38">
        <f t="shared" si="41"/>
        <v>0</v>
      </c>
    </row>
    <row r="2694" spans="1:14" x14ac:dyDescent="0.25">
      <c r="A2694" t="s">
        <v>78</v>
      </c>
      <c r="B2694" t="s">
        <v>154</v>
      </c>
      <c r="C2694" s="62">
        <f>VLOOKUP(B2694,合并仓明细!$D$2:$F$74,3,0)</f>
        <v>44</v>
      </c>
      <c r="D2694" t="s">
        <v>393</v>
      </c>
      <c r="E2694" t="s">
        <v>446</v>
      </c>
      <c r="F2694" t="s">
        <v>67</v>
      </c>
      <c r="G2694">
        <v>10000.040000000001</v>
      </c>
      <c r="H2694">
        <v>10.00004</v>
      </c>
      <c r="I2694" s="38">
        <f>IF(H2694&gt;30,QUOTIENT(H2694,30)*VLOOKUP(D2694,'报价表-配送'!$B$68:$I$72,8,0),0)+IF(AND(MOD(H2694,30)&gt;18,MOD(H2694,30)&lt;=30),1,0)*VLOOKUP(D2694,'报价表-配送'!$B$68:$I$72,8,0)</f>
        <v>0</v>
      </c>
      <c r="J2694" s="38">
        <f>IF(AND(MOD(H2694,30)&gt;8,MOD(H2694,30)&lt;=18),1*VLOOKUP(D2694,'报价表-配送'!$B$68:$I$72,7,0),0)</f>
        <v>0</v>
      </c>
      <c r="K2694" s="37">
        <f>IF(AND(MOD(H2694,30)&lt;=8,MOD(H2694,30)&gt;0),1,0)*VLOOKUP(D2694,'报价表-配送'!$B$68:$I$72,6,0)</f>
        <v>0</v>
      </c>
      <c r="N2694" s="38">
        <f t="shared" si="41"/>
        <v>0</v>
      </c>
    </row>
    <row r="2695" spans="1:14" x14ac:dyDescent="0.25">
      <c r="A2695" t="s">
        <v>78</v>
      </c>
      <c r="B2695" t="s">
        <v>154</v>
      </c>
      <c r="C2695" s="62">
        <f>VLOOKUP(B2695,合并仓明细!$D$2:$F$74,3,0)</f>
        <v>44</v>
      </c>
      <c r="D2695" t="s">
        <v>393</v>
      </c>
      <c r="E2695" t="s">
        <v>446</v>
      </c>
      <c r="F2695" t="s">
        <v>66</v>
      </c>
      <c r="G2695">
        <v>0</v>
      </c>
      <c r="H2695"/>
      <c r="N2695" s="38">
        <f t="shared" si="41"/>
        <v>0</v>
      </c>
    </row>
    <row r="2696" spans="1:14" x14ac:dyDescent="0.25">
      <c r="A2696" t="s">
        <v>78</v>
      </c>
      <c r="B2696" t="s">
        <v>154</v>
      </c>
      <c r="C2696" s="62">
        <f>VLOOKUP(B2696,合并仓明细!$D$2:$F$74,3,0)</f>
        <v>44</v>
      </c>
      <c r="D2696" t="s">
        <v>393</v>
      </c>
      <c r="E2696" t="s">
        <v>447</v>
      </c>
      <c r="F2696" t="s">
        <v>67</v>
      </c>
      <c r="G2696">
        <v>1279.4000000000001</v>
      </c>
      <c r="H2696">
        <v>1.28241</v>
      </c>
      <c r="I2696" s="38">
        <f>IF(H2696&gt;30,QUOTIENT(H2696,30)*VLOOKUP(D2696,'报价表-配送'!$B$68:$I$72,8,0),0)+IF(AND(MOD(H2696,30)&gt;18,MOD(H2696,30)&lt;=30),1,0)*VLOOKUP(D2696,'报价表-配送'!$B$68:$I$72,8,0)</f>
        <v>0</v>
      </c>
      <c r="J2696" s="38">
        <f>IF(AND(MOD(H2696,30)&gt;8,MOD(H2696,30)&lt;=18),1*VLOOKUP(D2696,'报价表-配送'!$B$68:$I$72,7,0),0)</f>
        <v>0</v>
      </c>
      <c r="K2696" s="37">
        <f>IF(AND(MOD(H2696,30)&lt;=8,MOD(H2696,30)&gt;0),1,0)*VLOOKUP(D2696,'报价表-配送'!$B$68:$I$72,6,0)</f>
        <v>0</v>
      </c>
      <c r="N2696" s="38">
        <f t="shared" si="41"/>
        <v>0</v>
      </c>
    </row>
    <row r="2697" spans="1:14" x14ac:dyDescent="0.25">
      <c r="A2697" t="s">
        <v>78</v>
      </c>
      <c r="B2697" t="s">
        <v>154</v>
      </c>
      <c r="C2697" s="62">
        <f>VLOOKUP(B2697,合并仓明细!$D$2:$F$74,3,0)</f>
        <v>44</v>
      </c>
      <c r="D2697" t="s">
        <v>393</v>
      </c>
      <c r="E2697" t="s">
        <v>447</v>
      </c>
      <c r="F2697" t="s">
        <v>66</v>
      </c>
      <c r="G2697">
        <v>3.01</v>
      </c>
      <c r="H2697"/>
      <c r="N2697" s="38">
        <f t="shared" si="41"/>
        <v>0</v>
      </c>
    </row>
    <row r="2698" spans="1:14" x14ac:dyDescent="0.25">
      <c r="A2698" t="s">
        <v>78</v>
      </c>
      <c r="B2698" t="s">
        <v>154</v>
      </c>
      <c r="C2698" s="62">
        <f>VLOOKUP(B2698,合并仓明细!$D$2:$F$74,3,0)</f>
        <v>44</v>
      </c>
      <c r="D2698" t="s">
        <v>393</v>
      </c>
      <c r="E2698" t="s">
        <v>448</v>
      </c>
      <c r="F2698" t="s">
        <v>68</v>
      </c>
      <c r="G2698">
        <v>3404.6499999999996</v>
      </c>
      <c r="H2698">
        <v>12.343310000000001</v>
      </c>
      <c r="I2698" s="59">
        <f>ROUNDUP(H2698/30,0)*VLOOKUP(D2698,'报价表-配送'!$B$68:$I$72,8,0)</f>
        <v>0</v>
      </c>
      <c r="N2698" s="38">
        <f t="shared" si="41"/>
        <v>0</v>
      </c>
    </row>
    <row r="2699" spans="1:14" x14ac:dyDescent="0.25">
      <c r="A2699" t="s">
        <v>78</v>
      </c>
      <c r="B2699" t="s">
        <v>154</v>
      </c>
      <c r="C2699" s="62">
        <f>VLOOKUP(B2699,合并仓明细!$D$2:$F$74,3,0)</f>
        <v>44</v>
      </c>
      <c r="D2699" t="s">
        <v>393</v>
      </c>
      <c r="E2699" t="s">
        <v>448</v>
      </c>
      <c r="F2699" t="s">
        <v>67</v>
      </c>
      <c r="G2699">
        <v>5518.68</v>
      </c>
      <c r="H2699"/>
      <c r="N2699" s="38">
        <f t="shared" si="41"/>
        <v>0</v>
      </c>
    </row>
    <row r="2700" spans="1:14" x14ac:dyDescent="0.25">
      <c r="A2700" t="s">
        <v>78</v>
      </c>
      <c r="B2700" t="s">
        <v>154</v>
      </c>
      <c r="C2700" s="62">
        <f>VLOOKUP(B2700,合并仓明细!$D$2:$F$74,3,0)</f>
        <v>44</v>
      </c>
      <c r="D2700" t="s">
        <v>393</v>
      </c>
      <c r="E2700" t="s">
        <v>448</v>
      </c>
      <c r="F2700" t="s">
        <v>66</v>
      </c>
      <c r="G2700">
        <v>3419.9800000000005</v>
      </c>
      <c r="H2700"/>
      <c r="N2700" s="38">
        <f t="shared" si="41"/>
        <v>0</v>
      </c>
    </row>
    <row r="2701" spans="1:14" x14ac:dyDescent="0.25">
      <c r="A2701" t="s">
        <v>78</v>
      </c>
      <c r="B2701" t="s">
        <v>154</v>
      </c>
      <c r="C2701" s="62">
        <f>VLOOKUP(B2701,合并仓明细!$D$2:$F$74,3,0)</f>
        <v>44</v>
      </c>
      <c r="D2701" t="s">
        <v>393</v>
      </c>
      <c r="E2701" t="s">
        <v>449</v>
      </c>
      <c r="F2701" t="s">
        <v>67</v>
      </c>
      <c r="G2701">
        <v>557.78</v>
      </c>
      <c r="H2701">
        <v>2.0785800000000001</v>
      </c>
      <c r="I2701" s="38">
        <f>IF(H2701&gt;30,QUOTIENT(H2701,30)*VLOOKUP(D2701,'报价表-配送'!$B$68:$I$72,8,0),0)+IF(AND(MOD(H2701,30)&gt;18,MOD(H2701,30)&lt;=30),1,0)*VLOOKUP(D2701,'报价表-配送'!$B$68:$I$72,8,0)</f>
        <v>0</v>
      </c>
      <c r="J2701" s="38">
        <f>IF(AND(MOD(H2701,30)&gt;8,MOD(H2701,30)&lt;=18),1*VLOOKUP(D2701,'报价表-配送'!$B$68:$I$72,7,0),0)</f>
        <v>0</v>
      </c>
      <c r="K2701" s="37">
        <f>IF(AND(MOD(H2701,30)&lt;=8,MOD(H2701,30)&gt;0),1,0)*VLOOKUP(D2701,'报价表-配送'!$B$68:$I$72,6,0)</f>
        <v>0</v>
      </c>
      <c r="N2701" s="38">
        <f t="shared" si="41"/>
        <v>0</v>
      </c>
    </row>
    <row r="2702" spans="1:14" x14ac:dyDescent="0.25">
      <c r="A2702" t="s">
        <v>78</v>
      </c>
      <c r="B2702" t="s">
        <v>154</v>
      </c>
      <c r="C2702" s="62">
        <f>VLOOKUP(B2702,合并仓明细!$D$2:$F$74,3,0)</f>
        <v>44</v>
      </c>
      <c r="D2702" t="s">
        <v>393</v>
      </c>
      <c r="E2702" t="s">
        <v>449</v>
      </c>
      <c r="F2702" t="s">
        <v>66</v>
      </c>
      <c r="G2702">
        <v>1520.8</v>
      </c>
      <c r="H2702"/>
      <c r="N2702" s="38">
        <f t="shared" si="41"/>
        <v>0</v>
      </c>
    </row>
    <row r="2703" spans="1:14" x14ac:dyDescent="0.25">
      <c r="A2703" t="s">
        <v>78</v>
      </c>
      <c r="B2703" t="s">
        <v>154</v>
      </c>
      <c r="C2703" s="62">
        <f>VLOOKUP(B2703,合并仓明细!$D$2:$F$74,3,0)</f>
        <v>44</v>
      </c>
      <c r="D2703" t="s">
        <v>393</v>
      </c>
      <c r="E2703" t="s">
        <v>450</v>
      </c>
      <c r="F2703" t="s">
        <v>67</v>
      </c>
      <c r="G2703">
        <v>20878.23</v>
      </c>
      <c r="H2703">
        <v>25.054470000000002</v>
      </c>
      <c r="I2703" s="38">
        <f>IF(H2703&gt;30,QUOTIENT(H2703,30)*VLOOKUP(D2703,'报价表-配送'!$B$68:$I$72,8,0),0)+IF(AND(MOD(H2703,30)&gt;18,MOD(H2703,30)&lt;=30),1,0)*VLOOKUP(D2703,'报价表-配送'!$B$68:$I$72,8,0)</f>
        <v>0</v>
      </c>
      <c r="J2703" s="38">
        <f>IF(AND(MOD(H2703,30)&gt;8,MOD(H2703,30)&lt;=18),1*VLOOKUP(D2703,'报价表-配送'!$B$68:$I$72,7,0),0)</f>
        <v>0</v>
      </c>
      <c r="K2703" s="37">
        <f>IF(AND(MOD(H2703,30)&lt;=8,MOD(H2703,30)&gt;0),1,0)*VLOOKUP(D2703,'报价表-配送'!$B$68:$I$72,6,0)</f>
        <v>0</v>
      </c>
      <c r="N2703" s="38">
        <f t="shared" si="41"/>
        <v>0</v>
      </c>
    </row>
    <row r="2704" spans="1:14" x14ac:dyDescent="0.25">
      <c r="A2704" t="s">
        <v>78</v>
      </c>
      <c r="B2704" t="s">
        <v>154</v>
      </c>
      <c r="C2704" s="62">
        <f>VLOOKUP(B2704,合并仓明细!$D$2:$F$74,3,0)</f>
        <v>44</v>
      </c>
      <c r="D2704" t="s">
        <v>393</v>
      </c>
      <c r="E2704" t="s">
        <v>450</v>
      </c>
      <c r="F2704" t="s">
        <v>66</v>
      </c>
      <c r="G2704">
        <v>4176.24</v>
      </c>
      <c r="H2704"/>
      <c r="N2704" s="38">
        <f t="shared" si="41"/>
        <v>0</v>
      </c>
    </row>
    <row r="2705" spans="1:14" x14ac:dyDescent="0.25">
      <c r="A2705" t="s">
        <v>78</v>
      </c>
      <c r="B2705" t="s">
        <v>154</v>
      </c>
      <c r="C2705" s="62">
        <f>VLOOKUP(B2705,合并仓明细!$D$2:$F$74,3,0)</f>
        <v>44</v>
      </c>
      <c r="D2705" t="s">
        <v>393</v>
      </c>
      <c r="E2705" t="s">
        <v>451</v>
      </c>
      <c r="F2705" t="s">
        <v>66</v>
      </c>
      <c r="G2705">
        <v>47.33</v>
      </c>
      <c r="H2705">
        <v>4.7329999999999997E-2</v>
      </c>
      <c r="L2705" s="37">
        <f>IF(H2705&gt;30,QUOTIENT(H2705,30)*VLOOKUP(D2705,'报价表-配送'!$B$68:$I$72,8,0),0)+IF(AND(MOD(H2705,30)&gt;18,MOD(H2705,30)&lt;=30),1,0)*VLOOKUP(D2705,'报价表-配送'!$B$68:$I$72,8,0)+IF(AND(MOD(H2705,30)&gt;8,MOD(H2705,30)&lt;=18),1*VLOOKUP(D2705,'报价表-配送'!$B$68:$I$72,7,0),0)+IF(AND(MOD(H2705,30)&lt;=8,MOD(H2705,30)&gt;2.5),1,0)*VLOOKUP(D2705,'报价表-配送'!$B$68:$I$72,6,0)+IF(AND(MOD(H2705,30)&lt;=2.5,MOD(H2705,30)&gt;=1.5),1,0)*VLOOKUP(D2705,'报价表-配送'!$B$68:$I$72,5,0)</f>
        <v>0</v>
      </c>
      <c r="M2705" s="39">
        <f>IF(AND(MOD(H2705,30)&lt;1.5,MOD(H2705,30)&gt;=0.5),H2705,0)*VLOOKUP(D2705,'报价表-配送'!$B$68:$I$72,4,0)*1000+IF(AND(MOD(H2705,30)&lt;0.5,MOD(H2705,30)&gt;=0.02),H2705,0)*VLOOKUP(D2705,'报价表-配送'!$B$68:$I$72,3,0)*1000+IF(AND(MOD(H2705,30)&lt;0.02),H2705,0)*VLOOKUP(D2705,'报价表-配送'!$B$68:$I$72,2,0)*1000</f>
        <v>0</v>
      </c>
      <c r="N2705" s="38">
        <f t="shared" si="41"/>
        <v>0</v>
      </c>
    </row>
    <row r="2706" spans="1:14" x14ac:dyDescent="0.25">
      <c r="A2706" t="s">
        <v>78</v>
      </c>
      <c r="B2706" t="s">
        <v>155</v>
      </c>
      <c r="C2706" s="62">
        <f>VLOOKUP(B2706,合并仓明细!$D$2:$F$74,3,0)</f>
        <v>185</v>
      </c>
      <c r="D2706" t="s">
        <v>413</v>
      </c>
      <c r="E2706" t="s">
        <v>452</v>
      </c>
      <c r="F2706" t="s">
        <v>67</v>
      </c>
      <c r="G2706">
        <v>251.13</v>
      </c>
      <c r="H2706">
        <v>0.70312999999999992</v>
      </c>
      <c r="I2706" s="38">
        <f>IF(H2706&gt;30,QUOTIENT(H2706,30)*VLOOKUP(D2706,'报价表-配送'!$B$68:$I$72,8,0),0)+IF(AND(MOD(H2706,30)&gt;18,MOD(H2706,30)&lt;=30),1,0)*VLOOKUP(D2706,'报价表-配送'!$B$68:$I$72,8,0)</f>
        <v>0</v>
      </c>
      <c r="J2706" s="38">
        <f>IF(AND(MOD(H2706,30)&gt;8,MOD(H2706,30)&lt;=18),1*VLOOKUP(D2706,'报价表-配送'!$B$68:$I$72,7,0),0)</f>
        <v>0</v>
      </c>
      <c r="K2706" s="37">
        <f>IF(AND(MOD(H2706,30)&lt;=8,MOD(H2706,30)&gt;0),1,0)*VLOOKUP(D2706,'报价表-配送'!$B$68:$I$72,6,0)</f>
        <v>0</v>
      </c>
      <c r="N2706" s="38">
        <f t="shared" si="41"/>
        <v>0</v>
      </c>
    </row>
    <row r="2707" spans="1:14" x14ac:dyDescent="0.25">
      <c r="A2707" t="s">
        <v>78</v>
      </c>
      <c r="B2707" t="s">
        <v>155</v>
      </c>
      <c r="C2707" s="62">
        <f>VLOOKUP(B2707,合并仓明细!$D$2:$F$74,3,0)</f>
        <v>185</v>
      </c>
      <c r="D2707" t="s">
        <v>413</v>
      </c>
      <c r="E2707" t="s">
        <v>452</v>
      </c>
      <c r="F2707" t="s">
        <v>66</v>
      </c>
      <c r="G2707">
        <v>451.99999999999994</v>
      </c>
      <c r="H2707"/>
      <c r="N2707" s="38">
        <f t="shared" si="41"/>
        <v>0</v>
      </c>
    </row>
    <row r="2708" spans="1:14" x14ac:dyDescent="0.25">
      <c r="A2708" t="s">
        <v>78</v>
      </c>
      <c r="B2708" t="s">
        <v>155</v>
      </c>
      <c r="C2708" s="62">
        <f>VLOOKUP(B2708,合并仓明细!$D$2:$F$74,3,0)</f>
        <v>185</v>
      </c>
      <c r="D2708" t="s">
        <v>413</v>
      </c>
      <c r="E2708" t="s">
        <v>453</v>
      </c>
      <c r="F2708" t="s">
        <v>68</v>
      </c>
      <c r="G2708">
        <v>7253.6699999999992</v>
      </c>
      <c r="H2708">
        <v>13.193409999999998</v>
      </c>
      <c r="I2708" s="59">
        <f>ROUNDUP(H2708/30,0)*VLOOKUP(D2708,'报价表-配送'!$B$68:$I$72,8,0)</f>
        <v>0</v>
      </c>
      <c r="N2708" s="38">
        <f t="shared" si="41"/>
        <v>0</v>
      </c>
    </row>
    <row r="2709" spans="1:14" x14ac:dyDescent="0.25">
      <c r="A2709" t="s">
        <v>78</v>
      </c>
      <c r="B2709" t="s">
        <v>155</v>
      </c>
      <c r="C2709" s="62">
        <f>VLOOKUP(B2709,合并仓明细!$D$2:$F$74,3,0)</f>
        <v>185</v>
      </c>
      <c r="D2709" t="s">
        <v>413</v>
      </c>
      <c r="E2709" t="s">
        <v>453</v>
      </c>
      <c r="F2709" t="s">
        <v>67</v>
      </c>
      <c r="G2709">
        <v>1862.8600000000001</v>
      </c>
      <c r="H2709"/>
      <c r="N2709" s="38">
        <f t="shared" si="41"/>
        <v>0</v>
      </c>
    </row>
    <row r="2710" spans="1:14" x14ac:dyDescent="0.25">
      <c r="A2710" t="s">
        <v>78</v>
      </c>
      <c r="B2710" t="s">
        <v>155</v>
      </c>
      <c r="C2710" s="62">
        <f>VLOOKUP(B2710,合并仓明细!$D$2:$F$74,3,0)</f>
        <v>185</v>
      </c>
      <c r="D2710" t="s">
        <v>413</v>
      </c>
      <c r="E2710" t="s">
        <v>453</v>
      </c>
      <c r="F2710" t="s">
        <v>66</v>
      </c>
      <c r="G2710">
        <v>4076.8799999999992</v>
      </c>
      <c r="H2710"/>
      <c r="N2710" s="38">
        <f t="shared" si="41"/>
        <v>0</v>
      </c>
    </row>
    <row r="2711" spans="1:14" x14ac:dyDescent="0.25">
      <c r="A2711" t="s">
        <v>78</v>
      </c>
      <c r="B2711" t="s">
        <v>155</v>
      </c>
      <c r="C2711" s="62">
        <f>VLOOKUP(B2711,合并仓明细!$D$2:$F$74,3,0)</f>
        <v>185</v>
      </c>
      <c r="D2711" t="s">
        <v>413</v>
      </c>
      <c r="E2711" t="s">
        <v>442</v>
      </c>
      <c r="F2711" t="s">
        <v>66</v>
      </c>
      <c r="G2711" s="103">
        <v>11.34</v>
      </c>
      <c r="H2711" s="103">
        <v>1.1339999999999999E-2</v>
      </c>
      <c r="L2711" s="37">
        <f>IF(H2711&gt;30,QUOTIENT(H2711,30)*VLOOKUP(D2711,'报价表-配送'!$B$68:$I$72,8,0),0)+IF(AND(MOD(H2711,30)&gt;18,MOD(H2711,30)&lt;=30),1,0)*VLOOKUP(D2711,'报价表-配送'!$B$68:$I$72,8,0)+IF(AND(MOD(H2711,30)&gt;8,MOD(H2711,30)&lt;=18),1*VLOOKUP(D2711,'报价表-配送'!$B$68:$I$72,7,0),0)+IF(AND(MOD(H2711,30)&lt;=8,MOD(H2711,30)&gt;2.5),1,0)*VLOOKUP(D2711,'报价表-配送'!$B$68:$I$72,6,0)+IF(AND(MOD(H2711,30)&lt;=2.5,MOD(H2711,30)&gt;=1.5),1,0)*VLOOKUP(D2711,'报价表-配送'!$B$68:$I$72,5,0)</f>
        <v>0</v>
      </c>
      <c r="M2711" s="39">
        <f>IF(AND(MOD(H2711,30)&lt;1.5,MOD(H2711,30)&gt;=0.5),H2711,0)*VLOOKUP(D2711,'报价表-配送'!$B$68:$I$72,4,0)*1000+IF(AND(MOD(H2711,30)&lt;0.5,MOD(H2711,30)&gt;=0.02),H2711,0)*VLOOKUP(D2711,'报价表-配送'!$B$68:$I$72,3,0)*1000+IF(AND(MOD(H2711,30)&lt;0.02),H2711,0)*VLOOKUP(D2711,'报价表-配送'!$B$68:$I$72,2,0)*1000</f>
        <v>0</v>
      </c>
      <c r="N2711" s="38">
        <f t="shared" si="41"/>
        <v>0</v>
      </c>
    </row>
    <row r="2712" spans="1:14" x14ac:dyDescent="0.25">
      <c r="A2712" t="s">
        <v>78</v>
      </c>
      <c r="B2712" t="s">
        <v>155</v>
      </c>
      <c r="C2712" s="62">
        <f>VLOOKUP(B2712,合并仓明细!$D$2:$F$74,3,0)</f>
        <v>185</v>
      </c>
      <c r="D2712" t="s">
        <v>413</v>
      </c>
      <c r="E2712" t="s">
        <v>443</v>
      </c>
      <c r="F2712" t="s">
        <v>68</v>
      </c>
      <c r="G2712">
        <v>2067.5299999999997</v>
      </c>
      <c r="H2712">
        <v>7.8811199999999992</v>
      </c>
      <c r="I2712" s="59">
        <f>ROUNDUP(H2712/30,0)*VLOOKUP(D2712,'报价表-配送'!$B$68:$I$72,8,0)</f>
        <v>0</v>
      </c>
      <c r="N2712" s="38">
        <f t="shared" si="41"/>
        <v>0</v>
      </c>
    </row>
    <row r="2713" spans="1:14" x14ac:dyDescent="0.25">
      <c r="A2713" t="s">
        <v>78</v>
      </c>
      <c r="B2713" t="s">
        <v>155</v>
      </c>
      <c r="C2713" s="62">
        <f>VLOOKUP(B2713,合并仓明细!$D$2:$F$74,3,0)</f>
        <v>185</v>
      </c>
      <c r="D2713" t="s">
        <v>413</v>
      </c>
      <c r="E2713" t="s">
        <v>443</v>
      </c>
      <c r="F2713" t="s">
        <v>67</v>
      </c>
      <c r="G2713">
        <v>4476.7699999999995</v>
      </c>
      <c r="H2713"/>
      <c r="N2713" s="38">
        <f t="shared" si="41"/>
        <v>0</v>
      </c>
    </row>
    <row r="2714" spans="1:14" x14ac:dyDescent="0.25">
      <c r="A2714" t="s">
        <v>78</v>
      </c>
      <c r="B2714" t="s">
        <v>155</v>
      </c>
      <c r="C2714" s="62">
        <f>VLOOKUP(B2714,合并仓明细!$D$2:$F$74,3,0)</f>
        <v>185</v>
      </c>
      <c r="D2714" t="s">
        <v>413</v>
      </c>
      <c r="E2714" t="s">
        <v>443</v>
      </c>
      <c r="F2714" t="s">
        <v>66</v>
      </c>
      <c r="G2714">
        <v>1336.8200000000002</v>
      </c>
      <c r="H2714"/>
      <c r="N2714" s="38">
        <f t="shared" si="41"/>
        <v>0</v>
      </c>
    </row>
    <row r="2715" spans="1:14" x14ac:dyDescent="0.25">
      <c r="A2715" t="s">
        <v>78</v>
      </c>
      <c r="B2715" t="s">
        <v>155</v>
      </c>
      <c r="C2715" s="62">
        <f>VLOOKUP(B2715,合并仓明细!$D$2:$F$74,3,0)</f>
        <v>185</v>
      </c>
      <c r="D2715" t="s">
        <v>413</v>
      </c>
      <c r="E2715" t="s">
        <v>444</v>
      </c>
      <c r="F2715" t="s">
        <v>67</v>
      </c>
      <c r="G2715">
        <v>2249.63</v>
      </c>
      <c r="H2715" s="103">
        <v>2.2496300000000002</v>
      </c>
      <c r="I2715" s="38">
        <f>IF(H2715&gt;30,QUOTIENT(H2715,30)*VLOOKUP(D2715,'报价表-配送'!$B$68:$I$72,8,0),0)+IF(AND(MOD(H2715,30)&gt;18,MOD(H2715,30)&lt;=30),1,0)*VLOOKUP(D2715,'报价表-配送'!$B$68:$I$72,8,0)</f>
        <v>0</v>
      </c>
      <c r="J2715" s="38">
        <f>IF(AND(MOD(H2715,30)&gt;8,MOD(H2715,30)&lt;=18),1*VLOOKUP(D2715,'报价表-配送'!$B$68:$I$72,7,0),0)</f>
        <v>0</v>
      </c>
      <c r="K2715" s="37">
        <f>IF(AND(MOD(H2715,30)&lt;=8,MOD(H2715,30)&gt;0),1,0)*VLOOKUP(D2715,'报价表-配送'!$B$68:$I$72,6,0)</f>
        <v>0</v>
      </c>
      <c r="N2715" s="38">
        <f t="shared" si="41"/>
        <v>0</v>
      </c>
    </row>
    <row r="2716" spans="1:14" x14ac:dyDescent="0.25">
      <c r="A2716" t="s">
        <v>78</v>
      </c>
      <c r="B2716" t="s">
        <v>155</v>
      </c>
      <c r="C2716" s="62">
        <f>VLOOKUP(B2716,合并仓明细!$D$2:$F$74,3,0)</f>
        <v>185</v>
      </c>
      <c r="D2716" t="s">
        <v>413</v>
      </c>
      <c r="E2716" t="s">
        <v>444</v>
      </c>
      <c r="F2716" t="s">
        <v>66</v>
      </c>
      <c r="G2716">
        <v>708.27</v>
      </c>
      <c r="H2716">
        <v>0.70826999999999996</v>
      </c>
      <c r="L2716" s="37">
        <f>IF(H2716&gt;30,QUOTIENT(H2716,30)*VLOOKUP(D2716,'报价表-配送'!$B$68:$I$72,8,0),0)+IF(AND(MOD(H2716,30)&gt;18,MOD(H2716,30)&lt;=30),1,0)*VLOOKUP(D2716,'报价表-配送'!$B$68:$I$72,8,0)+IF(AND(MOD(H2716,30)&gt;8,MOD(H2716,30)&lt;=18),1*VLOOKUP(D2716,'报价表-配送'!$B$68:$I$72,7,0),0)+IF(AND(MOD(H2716,30)&lt;=8,MOD(H2716,30)&gt;2.5),1,0)*VLOOKUP(D2716,'报价表-配送'!$B$68:$I$72,6,0)+IF(AND(MOD(H2716,30)&lt;=2.5,MOD(H2716,30)&gt;=1.5),1,0)*VLOOKUP(D2716,'报价表-配送'!$B$68:$I$72,5,0)</f>
        <v>0</v>
      </c>
      <c r="M2716" s="39">
        <f>IF(AND(MOD(H2716,30)&lt;1.5,MOD(H2716,30)&gt;=0.5),H2716,0)*VLOOKUP(D2716,'报价表-配送'!$B$68:$I$72,4,0)*1000+IF(AND(MOD(H2716,30)&lt;0.5,MOD(H2716,30)&gt;=0.02),H2716,0)*VLOOKUP(D2716,'报价表-配送'!$B$68:$I$72,3,0)*1000+IF(AND(MOD(H2716,30)&lt;0.02),H2716,0)*VLOOKUP(D2716,'报价表-配送'!$B$68:$I$72,2,0)*1000</f>
        <v>0</v>
      </c>
      <c r="N2716" s="38">
        <f t="shared" si="41"/>
        <v>0</v>
      </c>
    </row>
    <row r="2717" spans="1:14" x14ac:dyDescent="0.25">
      <c r="A2717" t="s">
        <v>78</v>
      </c>
      <c r="B2717" t="s">
        <v>155</v>
      </c>
      <c r="C2717" s="62">
        <f>VLOOKUP(B2717,合并仓明细!$D$2:$F$74,3,0)</f>
        <v>185</v>
      </c>
      <c r="D2717" t="s">
        <v>413</v>
      </c>
      <c r="E2717" t="s">
        <v>445</v>
      </c>
      <c r="F2717" t="s">
        <v>68</v>
      </c>
      <c r="G2717">
        <v>3920.94</v>
      </c>
      <c r="H2717">
        <v>21.088190000000001</v>
      </c>
      <c r="I2717" s="59">
        <f>ROUNDUP(H2717/30,0)*VLOOKUP(D2717,'报价表-配送'!$B$68:$I$72,8,0)</f>
        <v>0</v>
      </c>
      <c r="N2717" s="38">
        <f t="shared" si="41"/>
        <v>0</v>
      </c>
    </row>
    <row r="2718" spans="1:14" x14ac:dyDescent="0.25">
      <c r="A2718" t="s">
        <v>78</v>
      </c>
      <c r="B2718" t="s">
        <v>155</v>
      </c>
      <c r="C2718" s="62">
        <f>VLOOKUP(B2718,合并仓明细!$D$2:$F$74,3,0)</f>
        <v>185</v>
      </c>
      <c r="D2718" t="s">
        <v>413</v>
      </c>
      <c r="E2718" t="s">
        <v>445</v>
      </c>
      <c r="F2718" t="s">
        <v>67</v>
      </c>
      <c r="G2718">
        <v>14358.850000000002</v>
      </c>
      <c r="H2718"/>
      <c r="N2718" s="38">
        <f t="shared" si="41"/>
        <v>0</v>
      </c>
    </row>
    <row r="2719" spans="1:14" x14ac:dyDescent="0.25">
      <c r="A2719" t="s">
        <v>78</v>
      </c>
      <c r="B2719" t="s">
        <v>155</v>
      </c>
      <c r="C2719" s="62">
        <f>VLOOKUP(B2719,合并仓明细!$D$2:$F$74,3,0)</f>
        <v>185</v>
      </c>
      <c r="D2719" t="s">
        <v>413</v>
      </c>
      <c r="E2719" t="s">
        <v>445</v>
      </c>
      <c r="F2719" t="s">
        <v>66</v>
      </c>
      <c r="G2719">
        <v>2808.4000000000015</v>
      </c>
      <c r="H2719"/>
      <c r="N2719" s="38">
        <f t="shared" si="41"/>
        <v>0</v>
      </c>
    </row>
    <row r="2720" spans="1:14" x14ac:dyDescent="0.25">
      <c r="A2720" t="s">
        <v>78</v>
      </c>
      <c r="B2720" t="s">
        <v>155</v>
      </c>
      <c r="C2720" s="62">
        <f>VLOOKUP(B2720,合并仓明细!$D$2:$F$74,3,0)</f>
        <v>185</v>
      </c>
      <c r="D2720" t="s">
        <v>413</v>
      </c>
      <c r="E2720" t="s">
        <v>446</v>
      </c>
      <c r="F2720" t="s">
        <v>67</v>
      </c>
      <c r="G2720">
        <v>4308.7299999999996</v>
      </c>
      <c r="H2720">
        <v>6.4368500000000006</v>
      </c>
      <c r="I2720" s="38">
        <f>IF(H2720&gt;30,QUOTIENT(H2720,30)*VLOOKUP(D2720,'报价表-配送'!$B$68:$I$72,8,0),0)+IF(AND(MOD(H2720,30)&gt;18,MOD(H2720,30)&lt;=30),1,0)*VLOOKUP(D2720,'报价表-配送'!$B$68:$I$72,8,0)</f>
        <v>0</v>
      </c>
      <c r="J2720" s="38">
        <f>IF(AND(MOD(H2720,30)&gt;8,MOD(H2720,30)&lt;=18),1*VLOOKUP(D2720,'报价表-配送'!$B$68:$I$72,7,0),0)</f>
        <v>0</v>
      </c>
      <c r="K2720" s="37">
        <f>IF(AND(MOD(H2720,30)&lt;=8,MOD(H2720,30)&gt;0),1,0)*VLOOKUP(D2720,'报价表-配送'!$B$68:$I$72,6,0)</f>
        <v>0</v>
      </c>
      <c r="N2720" s="38">
        <f t="shared" si="41"/>
        <v>0</v>
      </c>
    </row>
    <row r="2721" spans="1:14" x14ac:dyDescent="0.25">
      <c r="A2721" t="s">
        <v>78</v>
      </c>
      <c r="B2721" t="s">
        <v>155</v>
      </c>
      <c r="C2721" s="62">
        <f>VLOOKUP(B2721,合并仓明细!$D$2:$F$74,3,0)</f>
        <v>185</v>
      </c>
      <c r="D2721" t="s">
        <v>413</v>
      </c>
      <c r="E2721" t="s">
        <v>446</v>
      </c>
      <c r="F2721" t="s">
        <v>66</v>
      </c>
      <c r="G2721">
        <v>2128.1200000000003</v>
      </c>
      <c r="H2721"/>
      <c r="N2721" s="38">
        <f t="shared" si="41"/>
        <v>0</v>
      </c>
    </row>
    <row r="2722" spans="1:14" x14ac:dyDescent="0.25">
      <c r="A2722" t="s">
        <v>78</v>
      </c>
      <c r="B2722" t="s">
        <v>155</v>
      </c>
      <c r="C2722" s="62">
        <f>VLOOKUP(B2722,合并仓明细!$D$2:$F$74,3,0)</f>
        <v>185</v>
      </c>
      <c r="D2722" t="s">
        <v>413</v>
      </c>
      <c r="E2722" t="s">
        <v>447</v>
      </c>
      <c r="F2722" t="s">
        <v>67</v>
      </c>
      <c r="G2722">
        <v>8492.5500000000029</v>
      </c>
      <c r="H2722">
        <v>8.5081700000000033</v>
      </c>
      <c r="I2722" s="38">
        <f>IF(H2722&gt;30,QUOTIENT(H2722,30)*VLOOKUP(D2722,'报价表-配送'!$B$68:$I$72,8,0),0)+IF(AND(MOD(H2722,30)&gt;18,MOD(H2722,30)&lt;=30),1,0)*VLOOKUP(D2722,'报价表-配送'!$B$68:$I$72,8,0)</f>
        <v>0</v>
      </c>
      <c r="J2722" s="38">
        <f>IF(AND(MOD(H2722,30)&gt;8,MOD(H2722,30)&lt;=18),1*VLOOKUP(D2722,'报价表-配送'!$B$68:$I$72,7,0),0)</f>
        <v>0</v>
      </c>
      <c r="K2722" s="37">
        <f>IF(AND(MOD(H2722,30)&lt;=8,MOD(H2722,30)&gt;0),1,0)*VLOOKUP(D2722,'报价表-配送'!$B$68:$I$72,6,0)</f>
        <v>0</v>
      </c>
      <c r="N2722" s="38">
        <f t="shared" si="41"/>
        <v>0</v>
      </c>
    </row>
    <row r="2723" spans="1:14" x14ac:dyDescent="0.25">
      <c r="A2723" t="s">
        <v>78</v>
      </c>
      <c r="B2723" t="s">
        <v>155</v>
      </c>
      <c r="C2723" s="62">
        <f>VLOOKUP(B2723,合并仓明细!$D$2:$F$74,3,0)</f>
        <v>185</v>
      </c>
      <c r="D2723" t="s">
        <v>413</v>
      </c>
      <c r="E2723" t="s">
        <v>447</v>
      </c>
      <c r="F2723" t="s">
        <v>66</v>
      </c>
      <c r="G2723">
        <v>15.620000000000001</v>
      </c>
      <c r="H2723"/>
      <c r="N2723" s="38">
        <f t="shared" si="41"/>
        <v>0</v>
      </c>
    </row>
    <row r="2724" spans="1:14" x14ac:dyDescent="0.25">
      <c r="A2724" t="s">
        <v>78</v>
      </c>
      <c r="B2724" t="s">
        <v>155</v>
      </c>
      <c r="C2724" s="62">
        <f>VLOOKUP(B2724,合并仓明细!$D$2:$F$74,3,0)</f>
        <v>185</v>
      </c>
      <c r="D2724" t="s">
        <v>413</v>
      </c>
      <c r="E2724" t="s">
        <v>448</v>
      </c>
      <c r="F2724" t="s">
        <v>67</v>
      </c>
      <c r="G2724">
        <v>71.14</v>
      </c>
      <c r="H2724">
        <v>0.32861999999999997</v>
      </c>
      <c r="I2724" s="38">
        <f>IF(H2724&gt;30,QUOTIENT(H2724,30)*VLOOKUP(D2724,'报价表-配送'!$B$68:$I$72,8,0),0)+IF(AND(MOD(H2724,30)&gt;18,MOD(H2724,30)&lt;=30),1,0)*VLOOKUP(D2724,'报价表-配送'!$B$68:$I$72,8,0)</f>
        <v>0</v>
      </c>
      <c r="J2724" s="38">
        <f>IF(AND(MOD(H2724,30)&gt;8,MOD(H2724,30)&lt;=18),1*VLOOKUP(D2724,'报价表-配送'!$B$68:$I$72,7,0),0)</f>
        <v>0</v>
      </c>
      <c r="K2724" s="37">
        <f>IF(AND(MOD(H2724,30)&lt;=8,MOD(H2724,30)&gt;0),1,0)*VLOOKUP(D2724,'报价表-配送'!$B$68:$I$72,6,0)</f>
        <v>0</v>
      </c>
      <c r="N2724" s="38">
        <f t="shared" si="41"/>
        <v>0</v>
      </c>
    </row>
    <row r="2725" spans="1:14" x14ac:dyDescent="0.25">
      <c r="A2725" t="s">
        <v>78</v>
      </c>
      <c r="B2725" t="s">
        <v>155</v>
      </c>
      <c r="C2725" s="62">
        <f>VLOOKUP(B2725,合并仓明细!$D$2:$F$74,3,0)</f>
        <v>185</v>
      </c>
      <c r="D2725" t="s">
        <v>413</v>
      </c>
      <c r="E2725" t="s">
        <v>448</v>
      </c>
      <c r="F2725" t="s">
        <v>66</v>
      </c>
      <c r="G2725">
        <v>257.47999999999996</v>
      </c>
      <c r="H2725"/>
      <c r="N2725" s="38">
        <f t="shared" si="41"/>
        <v>0</v>
      </c>
    </row>
    <row r="2726" spans="1:14" x14ac:dyDescent="0.25">
      <c r="A2726" t="s">
        <v>78</v>
      </c>
      <c r="B2726" t="s">
        <v>155</v>
      </c>
      <c r="C2726" s="62">
        <f>VLOOKUP(B2726,合并仓明细!$D$2:$F$74,3,0)</f>
        <v>185</v>
      </c>
      <c r="D2726" t="s">
        <v>413</v>
      </c>
      <c r="E2726" t="s">
        <v>449</v>
      </c>
      <c r="F2726" t="s">
        <v>67</v>
      </c>
      <c r="G2726">
        <v>11942.289999999999</v>
      </c>
      <c r="H2726">
        <v>14.125759999999998</v>
      </c>
      <c r="I2726" s="38">
        <f>IF(H2726&gt;30,QUOTIENT(H2726,30)*VLOOKUP(D2726,'报价表-配送'!$B$68:$I$72,8,0),0)+IF(AND(MOD(H2726,30)&gt;18,MOD(H2726,30)&lt;=30),1,0)*VLOOKUP(D2726,'报价表-配送'!$B$68:$I$72,8,0)</f>
        <v>0</v>
      </c>
      <c r="J2726" s="38">
        <f>IF(AND(MOD(H2726,30)&gt;8,MOD(H2726,30)&lt;=18),1*VLOOKUP(D2726,'报价表-配送'!$B$68:$I$72,7,0),0)</f>
        <v>0</v>
      </c>
      <c r="K2726" s="37">
        <f>IF(AND(MOD(H2726,30)&lt;=8,MOD(H2726,30)&gt;0),1,0)*VLOOKUP(D2726,'报价表-配送'!$B$68:$I$72,6,0)</f>
        <v>0</v>
      </c>
      <c r="N2726" s="38">
        <f t="shared" si="41"/>
        <v>0</v>
      </c>
    </row>
    <row r="2727" spans="1:14" x14ac:dyDescent="0.25">
      <c r="A2727" t="s">
        <v>78</v>
      </c>
      <c r="B2727" t="s">
        <v>155</v>
      </c>
      <c r="C2727" s="62">
        <f>VLOOKUP(B2727,合并仓明细!$D$2:$F$74,3,0)</f>
        <v>185</v>
      </c>
      <c r="D2727" t="s">
        <v>413</v>
      </c>
      <c r="E2727" t="s">
        <v>449</v>
      </c>
      <c r="F2727" t="s">
        <v>66</v>
      </c>
      <c r="G2727">
        <v>2183.4700000000003</v>
      </c>
      <c r="H2727"/>
      <c r="N2727" s="38">
        <f t="shared" si="41"/>
        <v>0</v>
      </c>
    </row>
    <row r="2728" spans="1:14" x14ac:dyDescent="0.25">
      <c r="A2728" t="s">
        <v>78</v>
      </c>
      <c r="B2728" t="s">
        <v>155</v>
      </c>
      <c r="C2728" s="62">
        <f>VLOOKUP(B2728,合并仓明细!$D$2:$F$74,3,0)</f>
        <v>185</v>
      </c>
      <c r="D2728" t="s">
        <v>413</v>
      </c>
      <c r="E2728" t="s">
        <v>450</v>
      </c>
      <c r="F2728" t="s">
        <v>68</v>
      </c>
      <c r="G2728">
        <v>941.47</v>
      </c>
      <c r="H2728">
        <v>12.530279999999999</v>
      </c>
      <c r="I2728" s="59">
        <f>ROUNDUP(H2728/30,0)*VLOOKUP(D2728,'报价表-配送'!$B$68:$I$72,8,0)</f>
        <v>0</v>
      </c>
      <c r="N2728" s="38">
        <f t="shared" si="41"/>
        <v>0</v>
      </c>
    </row>
    <row r="2729" spans="1:14" x14ac:dyDescent="0.25">
      <c r="A2729" t="s">
        <v>78</v>
      </c>
      <c r="B2729" t="s">
        <v>155</v>
      </c>
      <c r="C2729" s="62">
        <f>VLOOKUP(B2729,合并仓明细!$D$2:$F$74,3,0)</f>
        <v>185</v>
      </c>
      <c r="D2729" t="s">
        <v>413</v>
      </c>
      <c r="E2729" t="s">
        <v>450</v>
      </c>
      <c r="F2729" t="s">
        <v>67</v>
      </c>
      <c r="G2729">
        <v>10152.65</v>
      </c>
      <c r="H2729"/>
      <c r="N2729" s="38">
        <f t="shared" si="41"/>
        <v>0</v>
      </c>
    </row>
    <row r="2730" spans="1:14" x14ac:dyDescent="0.25">
      <c r="A2730" t="s">
        <v>78</v>
      </c>
      <c r="B2730" t="s">
        <v>155</v>
      </c>
      <c r="C2730" s="62">
        <f>VLOOKUP(B2730,合并仓明细!$D$2:$F$74,3,0)</f>
        <v>185</v>
      </c>
      <c r="D2730" t="s">
        <v>413</v>
      </c>
      <c r="E2730" t="s">
        <v>450</v>
      </c>
      <c r="F2730" t="s">
        <v>66</v>
      </c>
      <c r="G2730">
        <v>1436.1599999999996</v>
      </c>
      <c r="H2730"/>
      <c r="N2730" s="38">
        <f t="shared" si="41"/>
        <v>0</v>
      </c>
    </row>
    <row r="2731" spans="1:14" x14ac:dyDescent="0.25">
      <c r="A2731" t="s">
        <v>78</v>
      </c>
      <c r="B2731" t="s">
        <v>155</v>
      </c>
      <c r="C2731" s="62">
        <f>VLOOKUP(B2731,合并仓明细!$D$2:$F$74,3,0)</f>
        <v>185</v>
      </c>
      <c r="D2731" t="s">
        <v>413</v>
      </c>
      <c r="E2731" t="s">
        <v>451</v>
      </c>
      <c r="F2731" t="s">
        <v>68</v>
      </c>
      <c r="G2731">
        <v>3676.9599999999996</v>
      </c>
      <c r="H2731">
        <v>4.7481299999999989</v>
      </c>
      <c r="I2731" s="59">
        <f>ROUNDUP(H2731/30,0)*VLOOKUP(D2731,'报价表-配送'!$B$68:$I$72,8,0)</f>
        <v>0</v>
      </c>
      <c r="N2731" s="38">
        <f t="shared" si="41"/>
        <v>0</v>
      </c>
    </row>
    <row r="2732" spans="1:14" x14ac:dyDescent="0.25">
      <c r="A2732" t="s">
        <v>78</v>
      </c>
      <c r="B2732" t="s">
        <v>155</v>
      </c>
      <c r="C2732" s="62">
        <f>VLOOKUP(B2732,合并仓明细!$D$2:$F$74,3,0)</f>
        <v>185</v>
      </c>
      <c r="D2732" t="s">
        <v>413</v>
      </c>
      <c r="E2732" t="s">
        <v>451</v>
      </c>
      <c r="F2732" t="s">
        <v>66</v>
      </c>
      <c r="G2732">
        <v>1071.17</v>
      </c>
      <c r="H2732"/>
      <c r="N2732" s="38">
        <f t="shared" si="41"/>
        <v>0</v>
      </c>
    </row>
    <row r="2733" spans="1:14" x14ac:dyDescent="0.25">
      <c r="A2733" s="103" t="s">
        <v>78</v>
      </c>
      <c r="B2733" s="103" t="s">
        <v>155</v>
      </c>
      <c r="C2733" s="62">
        <f>VLOOKUP(B2733,合并仓明细!$D$2:$F$74,3,0)</f>
        <v>185</v>
      </c>
      <c r="D2733" s="103" t="s">
        <v>530</v>
      </c>
      <c r="E2733" s="103" t="s">
        <v>451</v>
      </c>
      <c r="F2733" s="103" t="s">
        <v>67</v>
      </c>
      <c r="G2733" s="103">
        <v>39000</v>
      </c>
      <c r="H2733">
        <v>39</v>
      </c>
      <c r="I2733" s="38">
        <f>IF(H2733&gt;30,QUOTIENT(H2733,30)*VLOOKUP(D2733,'报价表-配送'!$B$68:$I$72,8,0),0)+IF(AND(MOD(H2733,30)&gt;18,MOD(H2733,30)&lt;=30),1,0)*VLOOKUP(D2733,'报价表-配送'!$B$68:$I$72,8,0)</f>
        <v>0</v>
      </c>
      <c r="J2733" s="38">
        <f>IF(AND(MOD(H2733,30)&gt;8,MOD(H2733,30)&lt;=18),1*VLOOKUP(D2733,'报价表-配送'!$B$68:$I$72,7,0),0)</f>
        <v>0</v>
      </c>
      <c r="K2733" s="37">
        <f>IF(AND(MOD(H2733,30)&lt;=8,MOD(H2733,30)&gt;0),1,0)*VLOOKUP(D2733,'报价表-配送'!$B$68:$I$72,6,0)</f>
        <v>0</v>
      </c>
      <c r="N2733" s="38">
        <f t="shared" si="41"/>
        <v>0</v>
      </c>
    </row>
    <row r="2734" spans="1:14" x14ac:dyDescent="0.25">
      <c r="A2734" s="103" t="s">
        <v>78</v>
      </c>
      <c r="B2734" s="103" t="s">
        <v>155</v>
      </c>
      <c r="C2734" s="62">
        <f>VLOOKUP(B2734,合并仓明细!$D$2:$F$74,3,0)</f>
        <v>185</v>
      </c>
      <c r="D2734" s="103" t="s">
        <v>530</v>
      </c>
      <c r="E2734" s="103" t="s">
        <v>451</v>
      </c>
      <c r="F2734" s="103" t="s">
        <v>67</v>
      </c>
      <c r="G2734" s="103">
        <v>8000</v>
      </c>
      <c r="H2734">
        <v>8</v>
      </c>
      <c r="I2734" s="38">
        <f>IF(H2734&gt;30,QUOTIENT(H2734,30)*VLOOKUP(D2734,'报价表-配送'!$B$68:$I$72,8,0),0)+IF(AND(MOD(H2734,30)&gt;18,MOD(H2734,30)&lt;=30),1,0)*VLOOKUP(D2734,'报价表-配送'!$B$68:$I$72,8,0)</f>
        <v>0</v>
      </c>
      <c r="J2734" s="38">
        <f>IF(AND(MOD(H2734,30)&gt;8,MOD(H2734,30)&lt;=18),1*VLOOKUP(D2734,'报价表-配送'!$B$68:$I$72,7,0),0)</f>
        <v>0</v>
      </c>
      <c r="K2734" s="37">
        <f>IF(AND(MOD(H2734,30)&lt;=8,MOD(H2734,30)&gt;0),1,0)*VLOOKUP(D2734,'报价表-配送'!$B$68:$I$72,6,0)</f>
        <v>0</v>
      </c>
      <c r="N2734" s="38">
        <f t="shared" si="41"/>
        <v>0</v>
      </c>
    </row>
    <row r="2735" spans="1:14" x14ac:dyDescent="0.25">
      <c r="A2735" s="103" t="s">
        <v>78</v>
      </c>
      <c r="B2735" s="103" t="s">
        <v>155</v>
      </c>
      <c r="C2735" s="62">
        <f>VLOOKUP(B2735,合并仓明细!$D$2:$F$74,3,0)</f>
        <v>185</v>
      </c>
      <c r="D2735" s="103" t="s">
        <v>530</v>
      </c>
      <c r="E2735" s="103" t="s">
        <v>451</v>
      </c>
      <c r="F2735" s="103" t="s">
        <v>66</v>
      </c>
      <c r="G2735" s="103">
        <v>2500</v>
      </c>
      <c r="H2735">
        <v>2.5</v>
      </c>
      <c r="L2735" s="37">
        <f>IF(H2735&gt;30,QUOTIENT(H2735,30)*VLOOKUP(D2735,'报价表-配送'!$B$68:$I$72,8,0),0)+IF(AND(MOD(H2735,30)&gt;18,MOD(H2735,30)&lt;=30),1,0)*VLOOKUP(D2735,'报价表-配送'!$B$68:$I$72,8,0)+IF(AND(MOD(H2735,30)&gt;8,MOD(H2735,30)&lt;=18),1*VLOOKUP(D2735,'报价表-配送'!$B$68:$I$72,7,0),0)+IF(AND(MOD(H2735,30)&lt;=8,MOD(H2735,30)&gt;2.5),1,0)*VLOOKUP(D2735,'报价表-配送'!$B$68:$I$72,6,0)+IF(AND(MOD(H2735,30)&lt;=2.5,MOD(H2735,30)&gt;=1.5),1,0)*VLOOKUP(D2735,'报价表-配送'!$B$68:$I$72,5,0)</f>
        <v>0</v>
      </c>
      <c r="M2735" s="39">
        <f>IF(AND(MOD(H2735,30)&lt;1.5,MOD(H2735,30)&gt;=0.5),H2735,0)*VLOOKUP(D2735,'报价表-配送'!$B$68:$I$72,4,0)*1000+IF(AND(MOD(H2735,30)&lt;0.5,MOD(H2735,30)&gt;=0.02),H2735,0)*VLOOKUP(D2735,'报价表-配送'!$B$68:$I$72,3,0)*1000+IF(AND(MOD(H2735,30)&lt;0.02),H2735,0)*VLOOKUP(D2735,'报价表-配送'!$B$68:$I$72,2,0)*1000</f>
        <v>0</v>
      </c>
      <c r="N2735" s="38">
        <f t="shared" si="41"/>
        <v>0</v>
      </c>
    </row>
    <row r="2736" spans="1:14" x14ac:dyDescent="0.25">
      <c r="A2736" s="103" t="s">
        <v>78</v>
      </c>
      <c r="B2736" s="103" t="s">
        <v>155</v>
      </c>
      <c r="C2736" s="62">
        <f>VLOOKUP(B2736,合并仓明细!$D$2:$F$74,3,0)</f>
        <v>185</v>
      </c>
      <c r="D2736" s="103" t="s">
        <v>530</v>
      </c>
      <c r="E2736" s="103" t="s">
        <v>451</v>
      </c>
      <c r="F2736" s="103" t="s">
        <v>66</v>
      </c>
      <c r="G2736" s="103">
        <v>1000</v>
      </c>
      <c r="H2736">
        <v>1</v>
      </c>
      <c r="L2736" s="37">
        <f>IF(H2736&gt;30,QUOTIENT(H2736,30)*VLOOKUP(D2736,'报价表-配送'!$B$68:$I$72,8,0),0)+IF(AND(MOD(H2736,30)&gt;18,MOD(H2736,30)&lt;=30),1,0)*VLOOKUP(D2736,'报价表-配送'!$B$68:$I$72,8,0)+IF(AND(MOD(H2736,30)&gt;8,MOD(H2736,30)&lt;=18),1*VLOOKUP(D2736,'报价表-配送'!$B$68:$I$72,7,0),0)+IF(AND(MOD(H2736,30)&lt;=8,MOD(H2736,30)&gt;2.5),1,0)*VLOOKUP(D2736,'报价表-配送'!$B$68:$I$72,6,0)+IF(AND(MOD(H2736,30)&lt;=2.5,MOD(H2736,30)&gt;=1.5),1,0)*VLOOKUP(D2736,'报价表-配送'!$B$68:$I$72,5,0)</f>
        <v>0</v>
      </c>
      <c r="M2736" s="39">
        <f>IF(AND(MOD(H2736,30)&lt;1.5,MOD(H2736,30)&gt;=0.5),H2736,0)*VLOOKUP(D2736,'报价表-配送'!$B$68:$I$72,4,0)*1000+IF(AND(MOD(H2736,30)&lt;0.5,MOD(H2736,30)&gt;=0.02),H2736,0)*VLOOKUP(D2736,'报价表-配送'!$B$68:$I$72,3,0)*1000+IF(AND(MOD(H2736,30)&lt;0.02),H2736,0)*VLOOKUP(D2736,'报价表-配送'!$B$68:$I$72,2,0)*1000</f>
        <v>0</v>
      </c>
      <c r="N2736" s="38">
        <f t="shared" si="41"/>
        <v>0</v>
      </c>
    </row>
    <row r="2737" spans="1:14" x14ac:dyDescent="0.25">
      <c r="A2737" s="103" t="s">
        <v>78</v>
      </c>
      <c r="B2737" s="103" t="s">
        <v>155</v>
      </c>
      <c r="C2737" s="62">
        <f>VLOOKUP(B2737,合并仓明细!$D$2:$F$74,3,0)</f>
        <v>185</v>
      </c>
      <c r="D2737" s="103" t="s">
        <v>530</v>
      </c>
      <c r="E2737" s="103" t="s">
        <v>451</v>
      </c>
      <c r="F2737" s="103" t="s">
        <v>66</v>
      </c>
      <c r="G2737" s="103">
        <v>400</v>
      </c>
      <c r="H2737">
        <v>0.4</v>
      </c>
      <c r="L2737" s="37">
        <f>IF(H2737&gt;30,QUOTIENT(H2737,30)*VLOOKUP(D2737,'报价表-配送'!$B$68:$I$72,8,0),0)+IF(AND(MOD(H2737,30)&gt;18,MOD(H2737,30)&lt;=30),1,0)*VLOOKUP(D2737,'报价表-配送'!$B$68:$I$72,8,0)+IF(AND(MOD(H2737,30)&gt;8,MOD(H2737,30)&lt;=18),1*VLOOKUP(D2737,'报价表-配送'!$B$68:$I$72,7,0),0)+IF(AND(MOD(H2737,30)&lt;=8,MOD(H2737,30)&gt;2.5),1,0)*VLOOKUP(D2737,'报价表-配送'!$B$68:$I$72,6,0)+IF(AND(MOD(H2737,30)&lt;=2.5,MOD(H2737,30)&gt;=1.5),1,0)*VLOOKUP(D2737,'报价表-配送'!$B$68:$I$72,5,0)</f>
        <v>0</v>
      </c>
      <c r="M2737" s="39">
        <f>IF(AND(MOD(H2737,30)&lt;1.5,MOD(H2737,30)&gt;=0.5),H2737,0)*VLOOKUP(D2737,'报价表-配送'!$B$68:$I$72,4,0)*1000+IF(AND(MOD(H2737,30)&lt;0.5,MOD(H2737,30)&gt;=0.02),H2737,0)*VLOOKUP(D2737,'报价表-配送'!$B$68:$I$72,3,0)*1000+IF(AND(MOD(H2737,30)&lt;0.02),H2737,0)*VLOOKUP(D2737,'报价表-配送'!$B$68:$I$72,2,0)*1000</f>
        <v>0</v>
      </c>
      <c r="N2737" s="38">
        <f t="shared" si="41"/>
        <v>0</v>
      </c>
    </row>
    <row r="2738" spans="1:14" x14ac:dyDescent="0.25">
      <c r="A2738" s="103" t="s">
        <v>78</v>
      </c>
      <c r="B2738" s="103" t="s">
        <v>155</v>
      </c>
      <c r="C2738" s="62">
        <f>VLOOKUP(B2738,合并仓明细!$D$2:$F$74,3,0)</f>
        <v>185</v>
      </c>
      <c r="D2738" s="103" t="s">
        <v>530</v>
      </c>
      <c r="E2738" s="103" t="s">
        <v>451</v>
      </c>
      <c r="F2738" s="103" t="s">
        <v>66</v>
      </c>
      <c r="G2738" s="103">
        <v>2</v>
      </c>
      <c r="H2738">
        <v>2E-3</v>
      </c>
      <c r="L2738" s="37">
        <f>IF(H2738&gt;30,QUOTIENT(H2738,30)*VLOOKUP(D2738,'报价表-配送'!$B$68:$I$72,8,0),0)+IF(AND(MOD(H2738,30)&gt;18,MOD(H2738,30)&lt;=30),1,0)*VLOOKUP(D2738,'报价表-配送'!$B$68:$I$72,8,0)+IF(AND(MOD(H2738,30)&gt;8,MOD(H2738,30)&lt;=18),1*VLOOKUP(D2738,'报价表-配送'!$B$68:$I$72,7,0),0)+IF(AND(MOD(H2738,30)&lt;=8,MOD(H2738,30)&gt;2.5),1,0)*VLOOKUP(D2738,'报价表-配送'!$B$68:$I$72,6,0)+IF(AND(MOD(H2738,30)&lt;=2.5,MOD(H2738,30)&gt;=1.5),1,0)*VLOOKUP(D2738,'报价表-配送'!$B$68:$I$72,5,0)</f>
        <v>0</v>
      </c>
      <c r="M2738" s="39">
        <f>IF(AND(MOD(H2738,30)&lt;1.5,MOD(H2738,30)&gt;=0.5),H2738,0)*VLOOKUP(D2738,'报价表-配送'!$B$68:$I$72,4,0)*1000+IF(AND(MOD(H2738,30)&lt;0.5,MOD(H2738,30)&gt;=0.02),H2738,0)*VLOOKUP(D2738,'报价表-配送'!$B$68:$I$72,3,0)*1000+IF(AND(MOD(H2738,30)&lt;0.02),H2738,0)*VLOOKUP(D2738,'报价表-配送'!$B$68:$I$72,2,0)*1000</f>
        <v>0</v>
      </c>
      <c r="N2738" s="38">
        <f t="shared" si="41"/>
        <v>0</v>
      </c>
    </row>
    <row r="2739" spans="1:14" x14ac:dyDescent="0.25">
      <c r="A2739" t="s">
        <v>78</v>
      </c>
      <c r="B2739" t="s">
        <v>235</v>
      </c>
      <c r="C2739" s="62">
        <f>VLOOKUP(B2739,合并仓明细!$D$2:$F$74,3,0)</f>
        <v>105</v>
      </c>
      <c r="D2739" t="s">
        <v>413</v>
      </c>
      <c r="E2739" t="s">
        <v>452</v>
      </c>
      <c r="F2739" t="s">
        <v>68</v>
      </c>
      <c r="G2739">
        <v>1281.2800000000002</v>
      </c>
      <c r="H2739">
        <v>3.9447100000000002</v>
      </c>
      <c r="I2739" s="59">
        <f>ROUNDUP(H2739/30,0)*VLOOKUP(D2739,'报价表-配送'!$B$68:$I$72,8,0)</f>
        <v>0</v>
      </c>
      <c r="N2739" s="38">
        <f t="shared" si="41"/>
        <v>0</v>
      </c>
    </row>
    <row r="2740" spans="1:14" x14ac:dyDescent="0.25">
      <c r="A2740" t="s">
        <v>78</v>
      </c>
      <c r="B2740" t="s">
        <v>235</v>
      </c>
      <c r="C2740" s="62">
        <f>VLOOKUP(B2740,合并仓明细!$D$2:$F$74,3,0)</f>
        <v>105</v>
      </c>
      <c r="D2740" t="s">
        <v>413</v>
      </c>
      <c r="E2740" t="s">
        <v>452</v>
      </c>
      <c r="F2740" t="s">
        <v>67</v>
      </c>
      <c r="G2740">
        <v>40.6</v>
      </c>
      <c r="H2740"/>
      <c r="N2740" s="38">
        <f t="shared" si="41"/>
        <v>0</v>
      </c>
    </row>
    <row r="2741" spans="1:14" x14ac:dyDescent="0.25">
      <c r="A2741" t="s">
        <v>78</v>
      </c>
      <c r="B2741" t="s">
        <v>235</v>
      </c>
      <c r="C2741" s="62">
        <f>VLOOKUP(B2741,合并仓明细!$D$2:$F$74,3,0)</f>
        <v>105</v>
      </c>
      <c r="D2741" t="s">
        <v>413</v>
      </c>
      <c r="E2741" t="s">
        <v>452</v>
      </c>
      <c r="F2741" t="s">
        <v>66</v>
      </c>
      <c r="G2741">
        <v>2622.83</v>
      </c>
      <c r="H2741"/>
      <c r="N2741" s="38">
        <f t="shared" si="41"/>
        <v>0</v>
      </c>
    </row>
    <row r="2742" spans="1:14" x14ac:dyDescent="0.25">
      <c r="A2742" t="s">
        <v>78</v>
      </c>
      <c r="B2742" t="s">
        <v>235</v>
      </c>
      <c r="C2742" s="62">
        <f>VLOOKUP(B2742,合并仓明细!$D$2:$F$74,3,0)</f>
        <v>105</v>
      </c>
      <c r="D2742" t="s">
        <v>413</v>
      </c>
      <c r="E2742" t="s">
        <v>453</v>
      </c>
      <c r="F2742" t="s">
        <v>68</v>
      </c>
      <c r="G2742">
        <v>27314.29</v>
      </c>
      <c r="H2742">
        <v>61.922220000000003</v>
      </c>
      <c r="I2742" s="59">
        <f>ROUNDUP(H2742/30,0)*VLOOKUP(D2742,'报价表-配送'!$B$68:$I$72,8,0)</f>
        <v>0</v>
      </c>
      <c r="N2742" s="38">
        <f t="shared" si="41"/>
        <v>0</v>
      </c>
    </row>
    <row r="2743" spans="1:14" x14ac:dyDescent="0.25">
      <c r="A2743" t="s">
        <v>78</v>
      </c>
      <c r="B2743" t="s">
        <v>235</v>
      </c>
      <c r="C2743" s="62">
        <f>VLOOKUP(B2743,合并仓明细!$D$2:$F$74,3,0)</f>
        <v>105</v>
      </c>
      <c r="D2743" t="s">
        <v>413</v>
      </c>
      <c r="E2743" t="s">
        <v>453</v>
      </c>
      <c r="F2743" t="s">
        <v>67</v>
      </c>
      <c r="G2743">
        <v>34306.19</v>
      </c>
      <c r="H2743"/>
      <c r="N2743" s="38">
        <f t="shared" si="41"/>
        <v>0</v>
      </c>
    </row>
    <row r="2744" spans="1:14" x14ac:dyDescent="0.25">
      <c r="A2744" t="s">
        <v>78</v>
      </c>
      <c r="B2744" t="s">
        <v>235</v>
      </c>
      <c r="C2744" s="62">
        <f>VLOOKUP(B2744,合并仓明细!$D$2:$F$74,3,0)</f>
        <v>105</v>
      </c>
      <c r="D2744" t="s">
        <v>413</v>
      </c>
      <c r="E2744" t="s">
        <v>453</v>
      </c>
      <c r="F2744" t="s">
        <v>66</v>
      </c>
      <c r="G2744">
        <v>301.74</v>
      </c>
      <c r="H2744"/>
      <c r="N2744" s="38">
        <f t="shared" ref="N2744:N2814" si="42">SUM(I2744:M2744)</f>
        <v>0</v>
      </c>
    </row>
    <row r="2745" spans="1:14" x14ac:dyDescent="0.25">
      <c r="A2745" t="s">
        <v>78</v>
      </c>
      <c r="B2745" t="s">
        <v>235</v>
      </c>
      <c r="C2745" s="62">
        <f>VLOOKUP(B2745,合并仓明细!$D$2:$F$74,3,0)</f>
        <v>105</v>
      </c>
      <c r="D2745" t="s">
        <v>413</v>
      </c>
      <c r="E2745" t="s">
        <v>442</v>
      </c>
      <c r="F2745" t="s">
        <v>68</v>
      </c>
      <c r="G2745">
        <v>590.97</v>
      </c>
      <c r="H2745">
        <v>10.62096</v>
      </c>
      <c r="I2745" s="59">
        <f>ROUNDUP(H2745/30,0)*VLOOKUP(D2745,'报价表-配送'!$B$68:$I$72,8,0)</f>
        <v>0</v>
      </c>
      <c r="N2745" s="38">
        <f t="shared" si="42"/>
        <v>0</v>
      </c>
    </row>
    <row r="2746" spans="1:14" x14ac:dyDescent="0.25">
      <c r="A2746" t="s">
        <v>78</v>
      </c>
      <c r="B2746" t="s">
        <v>235</v>
      </c>
      <c r="C2746" s="62">
        <f>VLOOKUP(B2746,合并仓明细!$D$2:$F$74,3,0)</f>
        <v>105</v>
      </c>
      <c r="D2746" t="s">
        <v>413</v>
      </c>
      <c r="E2746" t="s">
        <v>442</v>
      </c>
      <c r="F2746" t="s">
        <v>67</v>
      </c>
      <c r="G2746">
        <v>10029.99</v>
      </c>
      <c r="H2746"/>
      <c r="N2746" s="38">
        <f t="shared" si="42"/>
        <v>0</v>
      </c>
    </row>
    <row r="2747" spans="1:14" x14ac:dyDescent="0.25">
      <c r="A2747" t="s">
        <v>78</v>
      </c>
      <c r="B2747" t="s">
        <v>235</v>
      </c>
      <c r="C2747" s="62">
        <f>VLOOKUP(B2747,合并仓明细!$D$2:$F$74,3,0)</f>
        <v>105</v>
      </c>
      <c r="D2747" t="s">
        <v>413</v>
      </c>
      <c r="E2747" t="s">
        <v>442</v>
      </c>
      <c r="F2747" t="s">
        <v>66</v>
      </c>
      <c r="G2747">
        <v>1615.3599999999997</v>
      </c>
      <c r="H2747">
        <v>1.6153599999999997</v>
      </c>
      <c r="L2747" s="37">
        <f>IF(H2747&gt;30,QUOTIENT(H2747,30)*VLOOKUP(D2747,'报价表-配送'!$B$68:$I$72,8,0),0)+IF(AND(MOD(H2747,30)&gt;18,MOD(H2747,30)&lt;=30),1,0)*VLOOKUP(D2747,'报价表-配送'!$B$68:$I$72,8,0)+IF(AND(MOD(H2747,30)&gt;8,MOD(H2747,30)&lt;=18),1*VLOOKUP(D2747,'报价表-配送'!$B$68:$I$72,7,0),0)+IF(AND(MOD(H2747,30)&lt;=8,MOD(H2747,30)&gt;2.5),1,0)*VLOOKUP(D2747,'报价表-配送'!$B$68:$I$72,6,0)+IF(AND(MOD(H2747,30)&lt;=2.5,MOD(H2747,30)&gt;=1.5),1,0)*VLOOKUP(D2747,'报价表-配送'!$B$68:$I$72,5,0)</f>
        <v>0</v>
      </c>
      <c r="M2747" s="39">
        <f>IF(AND(MOD(H2747,30)&lt;1.5,MOD(H2747,30)&gt;=0.5),H2747,0)*VLOOKUP(D2747,'报价表-配送'!$B$68:$I$72,4,0)*1000+IF(AND(MOD(H2747,30)&lt;0.5,MOD(H2747,30)&gt;=0.02),H2747,0)*VLOOKUP(D2747,'报价表-配送'!$B$68:$I$72,3,0)*1000+IF(AND(MOD(H2747,30)&lt;0.02),H2747,0)*VLOOKUP(D2747,'报价表-配送'!$B$68:$I$72,2,0)*1000</f>
        <v>0</v>
      </c>
      <c r="N2747" s="38">
        <f t="shared" si="42"/>
        <v>0</v>
      </c>
    </row>
    <row r="2748" spans="1:14" x14ac:dyDescent="0.25">
      <c r="A2748" t="s">
        <v>78</v>
      </c>
      <c r="B2748" t="s">
        <v>235</v>
      </c>
      <c r="C2748" s="62">
        <f>VLOOKUP(B2748,合并仓明细!$D$2:$F$74,3,0)</f>
        <v>105</v>
      </c>
      <c r="D2748" t="s">
        <v>413</v>
      </c>
      <c r="E2748" t="s">
        <v>443</v>
      </c>
      <c r="F2748" t="s">
        <v>68</v>
      </c>
      <c r="G2748">
        <v>63.86</v>
      </c>
      <c r="H2748">
        <v>53.408639999999998</v>
      </c>
      <c r="I2748" s="59">
        <f>ROUNDUP(H2748/30,0)*VLOOKUP(D2748,'报价表-配送'!$B$68:$I$72,8,0)</f>
        <v>0</v>
      </c>
      <c r="N2748" s="38">
        <f t="shared" si="42"/>
        <v>0</v>
      </c>
    </row>
    <row r="2749" spans="1:14" x14ac:dyDescent="0.25">
      <c r="A2749" t="s">
        <v>78</v>
      </c>
      <c r="B2749" t="s">
        <v>235</v>
      </c>
      <c r="C2749" s="62">
        <f>VLOOKUP(B2749,合并仓明细!$D$2:$F$74,3,0)</f>
        <v>105</v>
      </c>
      <c r="D2749" t="s">
        <v>413</v>
      </c>
      <c r="E2749" t="s">
        <v>443</v>
      </c>
      <c r="F2749" t="s">
        <v>67</v>
      </c>
      <c r="G2749">
        <v>52303.82</v>
      </c>
      <c r="H2749"/>
      <c r="N2749" s="38">
        <f t="shared" si="42"/>
        <v>0</v>
      </c>
    </row>
    <row r="2750" spans="1:14" x14ac:dyDescent="0.25">
      <c r="A2750" t="s">
        <v>78</v>
      </c>
      <c r="B2750" t="s">
        <v>235</v>
      </c>
      <c r="C2750" s="62">
        <f>VLOOKUP(B2750,合并仓明细!$D$2:$F$74,3,0)</f>
        <v>105</v>
      </c>
      <c r="D2750" t="s">
        <v>413</v>
      </c>
      <c r="E2750" t="s">
        <v>443</v>
      </c>
      <c r="F2750" t="s">
        <v>66</v>
      </c>
      <c r="G2750">
        <v>1040.9600000000003</v>
      </c>
      <c r="H2750"/>
      <c r="N2750" s="38">
        <f t="shared" si="42"/>
        <v>0</v>
      </c>
    </row>
    <row r="2751" spans="1:14" x14ac:dyDescent="0.25">
      <c r="A2751" t="s">
        <v>78</v>
      </c>
      <c r="B2751" t="s">
        <v>235</v>
      </c>
      <c r="C2751" s="62">
        <f>VLOOKUP(B2751,合并仓明细!$D$2:$F$74,3,0)</f>
        <v>105</v>
      </c>
      <c r="D2751" t="s">
        <v>413</v>
      </c>
      <c r="E2751" t="s">
        <v>454</v>
      </c>
      <c r="F2751" t="s">
        <v>68</v>
      </c>
      <c r="G2751">
        <v>1123.25</v>
      </c>
      <c r="H2751">
        <v>6.2193699999999996</v>
      </c>
      <c r="I2751" s="59">
        <f>ROUNDUP(H2751/30,0)*VLOOKUP(D2751,'报价表-配送'!$B$68:$I$72,8,0)</f>
        <v>0</v>
      </c>
      <c r="N2751" s="38">
        <f t="shared" si="42"/>
        <v>0</v>
      </c>
    </row>
    <row r="2752" spans="1:14" x14ac:dyDescent="0.25">
      <c r="A2752" t="s">
        <v>78</v>
      </c>
      <c r="B2752" t="s">
        <v>235</v>
      </c>
      <c r="C2752" s="62">
        <f>VLOOKUP(B2752,合并仓明细!$D$2:$F$74,3,0)</f>
        <v>105</v>
      </c>
      <c r="D2752" t="s">
        <v>413</v>
      </c>
      <c r="E2752" t="s">
        <v>454</v>
      </c>
      <c r="F2752" t="s">
        <v>67</v>
      </c>
      <c r="G2752">
        <v>4186.66</v>
      </c>
      <c r="H2752"/>
      <c r="N2752" s="38">
        <f t="shared" si="42"/>
        <v>0</v>
      </c>
    </row>
    <row r="2753" spans="1:14" x14ac:dyDescent="0.25">
      <c r="A2753" t="s">
        <v>78</v>
      </c>
      <c r="B2753" t="s">
        <v>235</v>
      </c>
      <c r="C2753" s="62">
        <f>VLOOKUP(B2753,合并仓明细!$D$2:$F$74,3,0)</f>
        <v>105</v>
      </c>
      <c r="D2753" t="s">
        <v>413</v>
      </c>
      <c r="E2753" t="s">
        <v>454</v>
      </c>
      <c r="F2753" t="s">
        <v>66</v>
      </c>
      <c r="G2753">
        <v>909.45999999999992</v>
      </c>
      <c r="H2753"/>
      <c r="N2753" s="38">
        <f t="shared" si="42"/>
        <v>0</v>
      </c>
    </row>
    <row r="2754" spans="1:14" x14ac:dyDescent="0.25">
      <c r="A2754" t="s">
        <v>78</v>
      </c>
      <c r="B2754" t="s">
        <v>235</v>
      </c>
      <c r="C2754" s="62">
        <f>VLOOKUP(B2754,合并仓明细!$D$2:$F$74,3,0)</f>
        <v>105</v>
      </c>
      <c r="D2754" t="s">
        <v>413</v>
      </c>
      <c r="E2754" t="s">
        <v>444</v>
      </c>
      <c r="F2754" t="s">
        <v>68</v>
      </c>
      <c r="G2754">
        <v>191.57</v>
      </c>
      <c r="H2754">
        <v>69.696250000000006</v>
      </c>
      <c r="I2754" s="59">
        <f>ROUNDUP(H2754/30,0)*VLOOKUP(D2754,'报价表-配送'!$B$68:$I$72,8,0)</f>
        <v>0</v>
      </c>
      <c r="N2754" s="38">
        <f t="shared" si="42"/>
        <v>0</v>
      </c>
    </row>
    <row r="2755" spans="1:14" x14ac:dyDescent="0.25">
      <c r="A2755" t="s">
        <v>78</v>
      </c>
      <c r="B2755" t="s">
        <v>235</v>
      </c>
      <c r="C2755" s="62">
        <f>VLOOKUP(B2755,合并仓明细!$D$2:$F$74,3,0)</f>
        <v>105</v>
      </c>
      <c r="D2755" t="s">
        <v>413</v>
      </c>
      <c r="E2755" t="s">
        <v>444</v>
      </c>
      <c r="F2755" t="s">
        <v>67</v>
      </c>
      <c r="G2755">
        <v>66844.829999999987</v>
      </c>
      <c r="H2755"/>
      <c r="N2755" s="38">
        <f t="shared" si="42"/>
        <v>0</v>
      </c>
    </row>
    <row r="2756" spans="1:14" x14ac:dyDescent="0.25">
      <c r="A2756" t="s">
        <v>78</v>
      </c>
      <c r="B2756" t="s">
        <v>235</v>
      </c>
      <c r="C2756" s="62">
        <f>VLOOKUP(B2756,合并仓明细!$D$2:$F$74,3,0)</f>
        <v>105</v>
      </c>
      <c r="D2756" t="s">
        <v>413</v>
      </c>
      <c r="E2756" t="s">
        <v>444</v>
      </c>
      <c r="F2756" t="s">
        <v>66</v>
      </c>
      <c r="G2756">
        <v>2659.8500000000004</v>
      </c>
      <c r="H2756"/>
      <c r="N2756" s="38">
        <f t="shared" si="42"/>
        <v>0</v>
      </c>
    </row>
    <row r="2757" spans="1:14" x14ac:dyDescent="0.25">
      <c r="A2757" t="s">
        <v>78</v>
      </c>
      <c r="B2757" t="s">
        <v>235</v>
      </c>
      <c r="C2757" s="62">
        <f>VLOOKUP(B2757,合并仓明细!$D$2:$F$74,3,0)</f>
        <v>105</v>
      </c>
      <c r="D2757" t="s">
        <v>413</v>
      </c>
      <c r="E2757" t="s">
        <v>445</v>
      </c>
      <c r="F2757" t="s">
        <v>66</v>
      </c>
      <c r="G2757">
        <v>151.01000000000002</v>
      </c>
      <c r="H2757">
        <v>0.15101000000000003</v>
      </c>
      <c r="L2757" s="37">
        <f>IF(H2757&gt;30,QUOTIENT(H2757,30)*VLOOKUP(D2757,'报价表-配送'!$B$68:$I$72,8,0),0)+IF(AND(MOD(H2757,30)&gt;18,MOD(H2757,30)&lt;=30),1,0)*VLOOKUP(D2757,'报价表-配送'!$B$68:$I$72,8,0)+IF(AND(MOD(H2757,30)&gt;8,MOD(H2757,30)&lt;=18),1*VLOOKUP(D2757,'报价表-配送'!$B$68:$I$72,7,0),0)+IF(AND(MOD(H2757,30)&lt;=8,MOD(H2757,30)&gt;2.5),1,0)*VLOOKUP(D2757,'报价表-配送'!$B$68:$I$72,6,0)+IF(AND(MOD(H2757,30)&lt;=2.5,MOD(H2757,30)&gt;=1.5),1,0)*VLOOKUP(D2757,'报价表-配送'!$B$68:$I$72,5,0)</f>
        <v>0</v>
      </c>
      <c r="M2757" s="39">
        <f>IF(AND(MOD(H2757,30)&lt;1.5,MOD(H2757,30)&gt;=0.5),H2757,0)*VLOOKUP(D2757,'报价表-配送'!$B$68:$I$72,4,0)*1000+IF(AND(MOD(H2757,30)&lt;0.5,MOD(H2757,30)&gt;=0.02),H2757,0)*VLOOKUP(D2757,'报价表-配送'!$B$68:$I$72,3,0)*1000+IF(AND(MOD(H2757,30)&lt;0.02),H2757,0)*VLOOKUP(D2757,'报价表-配送'!$B$68:$I$72,2,0)*1000</f>
        <v>0</v>
      </c>
      <c r="N2757" s="38">
        <f t="shared" si="42"/>
        <v>0</v>
      </c>
    </row>
    <row r="2758" spans="1:14" x14ac:dyDescent="0.25">
      <c r="A2758" t="s">
        <v>78</v>
      </c>
      <c r="B2758" t="s">
        <v>235</v>
      </c>
      <c r="C2758" s="62">
        <f>VLOOKUP(B2758,合并仓明细!$D$2:$F$74,3,0)</f>
        <v>105</v>
      </c>
      <c r="D2758" t="s">
        <v>413</v>
      </c>
      <c r="E2758" t="s">
        <v>446</v>
      </c>
      <c r="F2758" t="s">
        <v>68</v>
      </c>
      <c r="G2758">
        <v>8865.0000000000036</v>
      </c>
      <c r="H2758">
        <v>45.123340000000013</v>
      </c>
      <c r="I2758" s="59">
        <f>ROUNDUP(H2758/30,0)*VLOOKUP(D2758,'报价表-配送'!$B$68:$I$72,8,0)</f>
        <v>0</v>
      </c>
      <c r="N2758" s="38">
        <f t="shared" si="42"/>
        <v>0</v>
      </c>
    </row>
    <row r="2759" spans="1:14" x14ac:dyDescent="0.25">
      <c r="A2759" t="s">
        <v>78</v>
      </c>
      <c r="B2759" t="s">
        <v>235</v>
      </c>
      <c r="C2759" s="62">
        <f>VLOOKUP(B2759,合并仓明细!$D$2:$F$74,3,0)</f>
        <v>105</v>
      </c>
      <c r="D2759" t="s">
        <v>413</v>
      </c>
      <c r="E2759" t="s">
        <v>446</v>
      </c>
      <c r="F2759" t="s">
        <v>67</v>
      </c>
      <c r="G2759">
        <v>35131.170000000006</v>
      </c>
      <c r="H2759"/>
      <c r="N2759" s="38">
        <f t="shared" si="42"/>
        <v>0</v>
      </c>
    </row>
    <row r="2760" spans="1:14" x14ac:dyDescent="0.25">
      <c r="A2760" t="s">
        <v>78</v>
      </c>
      <c r="B2760" t="s">
        <v>235</v>
      </c>
      <c r="C2760" s="62">
        <f>VLOOKUP(B2760,合并仓明细!$D$2:$F$74,3,0)</f>
        <v>105</v>
      </c>
      <c r="D2760" t="s">
        <v>413</v>
      </c>
      <c r="E2760" t="s">
        <v>446</v>
      </c>
      <c r="F2760" t="s">
        <v>66</v>
      </c>
      <c r="G2760">
        <v>1127.1700000000003</v>
      </c>
      <c r="H2760"/>
      <c r="N2760" s="38">
        <f t="shared" si="42"/>
        <v>0</v>
      </c>
    </row>
    <row r="2761" spans="1:14" x14ac:dyDescent="0.25">
      <c r="A2761" t="s">
        <v>78</v>
      </c>
      <c r="B2761" t="s">
        <v>235</v>
      </c>
      <c r="C2761" s="62">
        <f>VLOOKUP(B2761,合并仓明细!$D$2:$F$74,3,0)</f>
        <v>105</v>
      </c>
      <c r="D2761" t="s">
        <v>413</v>
      </c>
      <c r="E2761" t="s">
        <v>447</v>
      </c>
      <c r="F2761" t="s">
        <v>68</v>
      </c>
      <c r="G2761">
        <v>1358.1299999999999</v>
      </c>
      <c r="H2761">
        <v>19.60445</v>
      </c>
      <c r="I2761" s="59">
        <f>ROUNDUP(H2761/30,0)*VLOOKUP(D2761,'报价表-配送'!$B$68:$I$72,8,0)</f>
        <v>0</v>
      </c>
      <c r="N2761" s="38">
        <f t="shared" si="42"/>
        <v>0</v>
      </c>
    </row>
    <row r="2762" spans="1:14" x14ac:dyDescent="0.25">
      <c r="A2762" t="s">
        <v>78</v>
      </c>
      <c r="B2762" t="s">
        <v>235</v>
      </c>
      <c r="C2762" s="62">
        <f>VLOOKUP(B2762,合并仓明细!$D$2:$F$74,3,0)</f>
        <v>105</v>
      </c>
      <c r="D2762" t="s">
        <v>413</v>
      </c>
      <c r="E2762" t="s">
        <v>447</v>
      </c>
      <c r="F2762" t="s">
        <v>67</v>
      </c>
      <c r="G2762">
        <v>18040.599999999999</v>
      </c>
      <c r="H2762"/>
      <c r="N2762" s="38">
        <f t="shared" si="42"/>
        <v>0</v>
      </c>
    </row>
    <row r="2763" spans="1:14" x14ac:dyDescent="0.25">
      <c r="A2763" t="s">
        <v>78</v>
      </c>
      <c r="B2763" t="s">
        <v>235</v>
      </c>
      <c r="C2763" s="62">
        <f>VLOOKUP(B2763,合并仓明细!$D$2:$F$74,3,0)</f>
        <v>105</v>
      </c>
      <c r="D2763" t="s">
        <v>413</v>
      </c>
      <c r="E2763" t="s">
        <v>447</v>
      </c>
      <c r="F2763" t="s">
        <v>66</v>
      </c>
      <c r="G2763">
        <v>205.71999999999997</v>
      </c>
      <c r="H2763"/>
      <c r="N2763" s="38">
        <f t="shared" si="42"/>
        <v>0</v>
      </c>
    </row>
    <row r="2764" spans="1:14" x14ac:dyDescent="0.25">
      <c r="A2764" t="s">
        <v>78</v>
      </c>
      <c r="B2764" t="s">
        <v>235</v>
      </c>
      <c r="C2764" s="62">
        <f>VLOOKUP(B2764,合并仓明细!$D$2:$F$74,3,0)</f>
        <v>105</v>
      </c>
      <c r="D2764" t="s">
        <v>413</v>
      </c>
      <c r="E2764" t="s">
        <v>448</v>
      </c>
      <c r="F2764" t="s">
        <v>68</v>
      </c>
      <c r="G2764">
        <v>13247.44</v>
      </c>
      <c r="H2764">
        <v>23.750920000000001</v>
      </c>
      <c r="I2764" s="59">
        <f>ROUNDUP(H2764/30,0)*VLOOKUP(D2764,'报价表-配送'!$B$68:$I$72,8,0)</f>
        <v>0</v>
      </c>
      <c r="N2764" s="38">
        <f t="shared" si="42"/>
        <v>0</v>
      </c>
    </row>
    <row r="2765" spans="1:14" x14ac:dyDescent="0.25">
      <c r="A2765" t="s">
        <v>78</v>
      </c>
      <c r="B2765" t="s">
        <v>235</v>
      </c>
      <c r="C2765" s="62">
        <f>VLOOKUP(B2765,合并仓明细!$D$2:$F$74,3,0)</f>
        <v>105</v>
      </c>
      <c r="D2765" t="s">
        <v>413</v>
      </c>
      <c r="E2765" t="s">
        <v>448</v>
      </c>
      <c r="F2765" t="s">
        <v>67</v>
      </c>
      <c r="G2765">
        <v>9118.19</v>
      </c>
      <c r="H2765"/>
      <c r="N2765" s="38">
        <f t="shared" si="42"/>
        <v>0</v>
      </c>
    </row>
    <row r="2766" spans="1:14" x14ac:dyDescent="0.25">
      <c r="A2766" t="s">
        <v>78</v>
      </c>
      <c r="B2766" t="s">
        <v>235</v>
      </c>
      <c r="C2766" s="62">
        <f>VLOOKUP(B2766,合并仓明细!$D$2:$F$74,3,0)</f>
        <v>105</v>
      </c>
      <c r="D2766" t="s">
        <v>413</v>
      </c>
      <c r="E2766" t="s">
        <v>448</v>
      </c>
      <c r="F2766" t="s">
        <v>66</v>
      </c>
      <c r="G2766">
        <v>1385.29</v>
      </c>
      <c r="H2766"/>
      <c r="N2766" s="38">
        <f t="shared" si="42"/>
        <v>0</v>
      </c>
    </row>
    <row r="2767" spans="1:14" x14ac:dyDescent="0.25">
      <c r="A2767" t="s">
        <v>78</v>
      </c>
      <c r="B2767" t="s">
        <v>235</v>
      </c>
      <c r="C2767" s="62">
        <f>VLOOKUP(B2767,合并仓明细!$D$2:$F$74,3,0)</f>
        <v>105</v>
      </c>
      <c r="D2767" t="s">
        <v>413</v>
      </c>
      <c r="E2767" t="s">
        <v>449</v>
      </c>
      <c r="F2767" t="s">
        <v>68</v>
      </c>
      <c r="G2767">
        <v>233.26</v>
      </c>
      <c r="H2767">
        <v>2.2404499999999996</v>
      </c>
      <c r="I2767" s="59">
        <f>ROUNDUP(H2767/30,0)*VLOOKUP(D2767,'报价表-配送'!$B$68:$I$72,8,0)</f>
        <v>0</v>
      </c>
      <c r="N2767" s="38">
        <f t="shared" si="42"/>
        <v>0</v>
      </c>
    </row>
    <row r="2768" spans="1:14" x14ac:dyDescent="0.25">
      <c r="A2768" t="s">
        <v>78</v>
      </c>
      <c r="B2768" t="s">
        <v>235</v>
      </c>
      <c r="C2768" s="62">
        <f>VLOOKUP(B2768,合并仓明细!$D$2:$F$74,3,0)</f>
        <v>105</v>
      </c>
      <c r="D2768" t="s">
        <v>413</v>
      </c>
      <c r="E2768" t="s">
        <v>449</v>
      </c>
      <c r="F2768" t="s">
        <v>67</v>
      </c>
      <c r="G2768">
        <v>1366.77</v>
      </c>
      <c r="H2768"/>
      <c r="N2768" s="38">
        <f t="shared" si="42"/>
        <v>0</v>
      </c>
    </row>
    <row r="2769" spans="1:14" x14ac:dyDescent="0.25">
      <c r="A2769" t="s">
        <v>78</v>
      </c>
      <c r="B2769" t="s">
        <v>235</v>
      </c>
      <c r="C2769" s="62">
        <f>VLOOKUP(B2769,合并仓明细!$D$2:$F$74,3,0)</f>
        <v>105</v>
      </c>
      <c r="D2769" t="s">
        <v>413</v>
      </c>
      <c r="E2769" t="s">
        <v>449</v>
      </c>
      <c r="F2769" t="s">
        <v>66</v>
      </c>
      <c r="G2769">
        <v>640.41999999999996</v>
      </c>
      <c r="H2769"/>
      <c r="N2769" s="38">
        <f t="shared" si="42"/>
        <v>0</v>
      </c>
    </row>
    <row r="2770" spans="1:14" x14ac:dyDescent="0.25">
      <c r="A2770" t="s">
        <v>78</v>
      </c>
      <c r="B2770" t="s">
        <v>235</v>
      </c>
      <c r="C2770" s="62">
        <f>VLOOKUP(B2770,合并仓明细!$D$2:$F$74,3,0)</f>
        <v>105</v>
      </c>
      <c r="D2770" t="s">
        <v>413</v>
      </c>
      <c r="E2770" t="s">
        <v>450</v>
      </c>
      <c r="F2770" t="s">
        <v>68</v>
      </c>
      <c r="G2770">
        <v>774.43000000000006</v>
      </c>
      <c r="H2770">
        <v>1.3149999999999999</v>
      </c>
      <c r="I2770" s="59">
        <f>ROUNDUP(H2770/30,0)*VLOOKUP(D2770,'报价表-配送'!$B$68:$I$72,8,0)</f>
        <v>0</v>
      </c>
      <c r="N2770" s="38">
        <f t="shared" si="42"/>
        <v>0</v>
      </c>
    </row>
    <row r="2771" spans="1:14" x14ac:dyDescent="0.25">
      <c r="A2771" t="s">
        <v>78</v>
      </c>
      <c r="B2771" t="s">
        <v>235</v>
      </c>
      <c r="C2771" s="62">
        <f>VLOOKUP(B2771,合并仓明细!$D$2:$F$74,3,0)</f>
        <v>105</v>
      </c>
      <c r="D2771" t="s">
        <v>413</v>
      </c>
      <c r="E2771" t="s">
        <v>450</v>
      </c>
      <c r="F2771" t="s">
        <v>67</v>
      </c>
      <c r="G2771">
        <v>185.47</v>
      </c>
      <c r="H2771"/>
      <c r="N2771" s="38">
        <f t="shared" si="42"/>
        <v>0</v>
      </c>
    </row>
    <row r="2772" spans="1:14" x14ac:dyDescent="0.25">
      <c r="A2772" t="s">
        <v>78</v>
      </c>
      <c r="B2772" t="s">
        <v>235</v>
      </c>
      <c r="C2772" s="62">
        <f>VLOOKUP(B2772,合并仓明细!$D$2:$F$74,3,0)</f>
        <v>105</v>
      </c>
      <c r="D2772" t="s">
        <v>413</v>
      </c>
      <c r="E2772" t="s">
        <v>450</v>
      </c>
      <c r="F2772" t="s">
        <v>66</v>
      </c>
      <c r="G2772">
        <v>355.1</v>
      </c>
      <c r="H2772"/>
      <c r="N2772" s="38">
        <f t="shared" si="42"/>
        <v>0</v>
      </c>
    </row>
    <row r="2773" spans="1:14" x14ac:dyDescent="0.25">
      <c r="A2773" t="s">
        <v>78</v>
      </c>
      <c r="B2773" t="s">
        <v>235</v>
      </c>
      <c r="C2773" s="62">
        <f>VLOOKUP(B2773,合并仓明细!$D$2:$F$74,3,0)</f>
        <v>105</v>
      </c>
      <c r="D2773" t="s">
        <v>413</v>
      </c>
      <c r="E2773" t="s">
        <v>451</v>
      </c>
      <c r="F2773" t="s">
        <v>68</v>
      </c>
      <c r="G2773">
        <v>2412.3199999999997</v>
      </c>
      <c r="H2773">
        <v>3.4775399999999999</v>
      </c>
      <c r="I2773" s="59">
        <f>ROUNDUP(H2773/30,0)*VLOOKUP(D2773,'报价表-配送'!$B$68:$I$72,8,0)</f>
        <v>0</v>
      </c>
      <c r="N2773" s="38">
        <f t="shared" si="42"/>
        <v>0</v>
      </c>
    </row>
    <row r="2774" spans="1:14" x14ac:dyDescent="0.25">
      <c r="A2774" t="s">
        <v>78</v>
      </c>
      <c r="B2774" t="s">
        <v>235</v>
      </c>
      <c r="C2774" s="62">
        <f>VLOOKUP(B2774,合并仓明细!$D$2:$F$74,3,0)</f>
        <v>105</v>
      </c>
      <c r="D2774" t="s">
        <v>413</v>
      </c>
      <c r="E2774" t="s">
        <v>451</v>
      </c>
      <c r="F2774" t="s">
        <v>66</v>
      </c>
      <c r="G2774">
        <v>1065.22</v>
      </c>
      <c r="H2774"/>
      <c r="N2774" s="38">
        <f t="shared" si="42"/>
        <v>0</v>
      </c>
    </row>
    <row r="2775" spans="1:14" x14ac:dyDescent="0.25">
      <c r="A2775" t="s">
        <v>78</v>
      </c>
      <c r="B2775" t="s">
        <v>156</v>
      </c>
      <c r="C2775" s="62">
        <f>VLOOKUP(B2775,合并仓明细!$D$2:$F$74,3,0)</f>
        <v>32</v>
      </c>
      <c r="D2775" t="s">
        <v>393</v>
      </c>
      <c r="E2775" t="s">
        <v>442</v>
      </c>
      <c r="F2775" t="s">
        <v>66</v>
      </c>
      <c r="G2775">
        <v>19</v>
      </c>
      <c r="H2775">
        <v>1.9E-2</v>
      </c>
      <c r="L2775" s="37">
        <f>IF(H2775&gt;30,QUOTIENT(H2775,30)*VLOOKUP(D2775,'报价表-配送'!$B$68:$I$72,8,0),0)+IF(AND(MOD(H2775,30)&gt;18,MOD(H2775,30)&lt;=30),1,0)*VLOOKUP(D2775,'报价表-配送'!$B$68:$I$72,8,0)+IF(AND(MOD(H2775,30)&gt;8,MOD(H2775,30)&lt;=18),1*VLOOKUP(D2775,'报价表-配送'!$B$68:$I$72,7,0),0)+IF(AND(MOD(H2775,30)&lt;=8,MOD(H2775,30)&gt;2.5),1,0)*VLOOKUP(D2775,'报价表-配送'!$B$68:$I$72,6,0)+IF(AND(MOD(H2775,30)&lt;=2.5,MOD(H2775,30)&gt;=1.5),1,0)*VLOOKUP(D2775,'报价表-配送'!$B$68:$I$72,5,0)</f>
        <v>0</v>
      </c>
      <c r="M2775" s="39">
        <f>IF(AND(MOD(H2775,30)&lt;1.5,MOD(H2775,30)&gt;=0.5),H2775,0)*VLOOKUP(D2775,'报价表-配送'!$B$68:$I$72,4,0)*1000+IF(AND(MOD(H2775,30)&lt;0.5,MOD(H2775,30)&gt;=0.02),H2775,0)*VLOOKUP(D2775,'报价表-配送'!$B$68:$I$72,3,0)*1000+IF(AND(MOD(H2775,30)&lt;0.02),H2775,0)*VLOOKUP(D2775,'报价表-配送'!$B$68:$I$72,2,0)*1000</f>
        <v>0</v>
      </c>
      <c r="N2775" s="38">
        <f t="shared" si="42"/>
        <v>0</v>
      </c>
    </row>
    <row r="2776" spans="1:14" x14ac:dyDescent="0.25">
      <c r="A2776" s="37" t="s">
        <v>80</v>
      </c>
      <c r="B2776" s="1" t="s">
        <v>150</v>
      </c>
      <c r="C2776" s="62">
        <f>VLOOKUP(B2776,合并仓明细!$D$2:$F$74,3,0)</f>
        <v>430</v>
      </c>
      <c r="D2776" t="s">
        <v>25</v>
      </c>
      <c r="E2776" s="36" t="s">
        <v>455</v>
      </c>
      <c r="F2776" s="1" t="s">
        <v>67</v>
      </c>
      <c r="G2776" s="1">
        <v>461.59999999999997</v>
      </c>
      <c r="H2776" s="35">
        <v>0.46159999999999995</v>
      </c>
      <c r="I2776" s="37">
        <f>IF(H2776&gt;30,QUOTIENT(H2776,30)*VLOOKUP(D2776,'报价表-配送'!$B$24:$I$29,8,0),0)+IF(AND(MOD(H2776,30)&gt;18,MOD(H2776,30)&lt;=30),1,0)*VLOOKUP(D2776,'报价表-配送'!$B$24:$I$29,8,0)</f>
        <v>0</v>
      </c>
      <c r="J2776" s="37">
        <f>IF(AND(MOD(H2776,30)&gt;8,MOD(H2776,30)&lt;=18),1*VLOOKUP(D2776,'报价表-配送'!$B$24:$I$29,7,0),0)</f>
        <v>0</v>
      </c>
      <c r="K2776" s="37">
        <f>IF(AND(MOD(H2776,30)&lt;=8,MOD(H2776,30)&gt;0),1,0)*VLOOKUP(D2776,'报价表-配送'!$B$24:$I$29,6,0)</f>
        <v>0</v>
      </c>
      <c r="N2776" s="38">
        <f t="shared" si="42"/>
        <v>0</v>
      </c>
    </row>
    <row r="2777" spans="1:14" x14ac:dyDescent="0.25">
      <c r="A2777" s="37" t="s">
        <v>80</v>
      </c>
      <c r="B2777" s="1" t="s">
        <v>150</v>
      </c>
      <c r="C2777" s="62">
        <f>VLOOKUP(B2777,合并仓明细!$D$2:$F$74,3,0)</f>
        <v>430</v>
      </c>
      <c r="D2777" t="s">
        <v>25</v>
      </c>
      <c r="E2777" s="36" t="s">
        <v>455</v>
      </c>
      <c r="F2777" s="1" t="s">
        <v>66</v>
      </c>
      <c r="G2777" s="104">
        <v>614.61</v>
      </c>
      <c r="H2777" s="110">
        <v>0.61460999999999999</v>
      </c>
      <c r="L2777" s="37">
        <f>IF(H2777&gt;30,QUOTIENT(H2777,30)*VLOOKUP(D2777,'报价表-配送'!$B$24:$I$29,8,0),0)+IF(AND(MOD(H2777,30)&gt;18,MOD(H2777,30)&lt;=30),1,0)*VLOOKUP(D2777,'报价表-配送'!$B$24:$I$29,8,0)+IF(AND(MOD(H2777,30)&gt;8,MOD(H2777,30)&lt;=18),1*VLOOKUP(D2777,'报价表-配送'!$B$24:$I$29,7,0),0)+IF(AND(MOD(H2777,30)&lt;=8,MOD(H2777,30)&gt;2.5),1,0)*VLOOKUP(D2777,'报价表-配送'!$B$24:$I$29,6,0)+IF(AND(MOD(H2777,30)&lt;=2.5,MOD(H2777,30)&gt;=1.5),1,0)*VLOOKUP(D2777,'报价表-配送'!$B$24:$I$29,5,0)</f>
        <v>0</v>
      </c>
      <c r="M2777" s="38">
        <f>IF(AND(MOD(H2777,30)&lt;1.5,MOD(H2777,30)&gt;=0.5),H2777,0)*VLOOKUP(D2777,'报价表-配送'!$B$24:$I$29,4,0)*1000+IF(AND(MOD(H2777,30)&lt;0.5,MOD(H2777,30)&gt;=0.02),H2777,0)*VLOOKUP(D2777,'报价表-配送'!$B$24:$I$29,3,0)*1000+IF(AND(MOD(H2777,30)&lt;0.02),H2777,0)*VLOOKUP(D2777,'报价表-配送'!$B$24:$I$29,2,0)*1000</f>
        <v>0</v>
      </c>
      <c r="N2777" s="38">
        <f t="shared" si="42"/>
        <v>0</v>
      </c>
    </row>
    <row r="2778" spans="1:14" x14ac:dyDescent="0.25">
      <c r="A2778" s="37" t="s">
        <v>80</v>
      </c>
      <c r="B2778" s="1" t="s">
        <v>150</v>
      </c>
      <c r="C2778" s="62">
        <f>VLOOKUP(B2778,合并仓明细!$D$2:$F$74,3,0)</f>
        <v>430</v>
      </c>
      <c r="D2778" t="s">
        <v>25</v>
      </c>
      <c r="E2778" s="36" t="s">
        <v>456</v>
      </c>
      <c r="F2778" s="1" t="s">
        <v>67</v>
      </c>
      <c r="G2778" s="1">
        <v>48.06</v>
      </c>
      <c r="H2778" s="35">
        <v>4.8060000000000005E-2</v>
      </c>
      <c r="I2778" s="37">
        <f>IF(H2778&gt;30,QUOTIENT(H2778,30)*VLOOKUP(D2778,'报价表-配送'!$B$24:$I$29,8,0),0)+IF(AND(MOD(H2778,30)&gt;18,MOD(H2778,30)&lt;=30),1,0)*VLOOKUP(D2778,'报价表-配送'!$B$24:$I$29,8,0)</f>
        <v>0</v>
      </c>
      <c r="J2778" s="37">
        <f>IF(AND(MOD(H2778,30)&gt;8,MOD(H2778,30)&lt;=18),1*VLOOKUP(D2778,'报价表-配送'!$B$24:$I$29,7,0),0)</f>
        <v>0</v>
      </c>
      <c r="K2778" s="37">
        <f>IF(AND(MOD(H2778,30)&lt;=8,MOD(H2778,30)&gt;0),1,0)*VLOOKUP(D2778,'报价表-配送'!$B$24:$I$29,6,0)</f>
        <v>0</v>
      </c>
      <c r="N2778" s="38">
        <f t="shared" si="42"/>
        <v>0</v>
      </c>
    </row>
    <row r="2779" spans="1:14" x14ac:dyDescent="0.25">
      <c r="A2779" s="37" t="s">
        <v>80</v>
      </c>
      <c r="B2779" s="1" t="s">
        <v>150</v>
      </c>
      <c r="C2779" s="62">
        <f>VLOOKUP(B2779,合并仓明细!$D$2:$F$74,3,0)</f>
        <v>430</v>
      </c>
      <c r="D2779" t="s">
        <v>25</v>
      </c>
      <c r="E2779" s="36" t="s">
        <v>456</v>
      </c>
      <c r="F2779" s="1" t="s">
        <v>66</v>
      </c>
      <c r="G2779" s="104">
        <v>19.77</v>
      </c>
      <c r="H2779" s="110">
        <v>1.9769999999999999E-2</v>
      </c>
      <c r="L2779" s="37">
        <f>IF(H2779&gt;30,QUOTIENT(H2779,30)*VLOOKUP(D2779,'报价表-配送'!$B$24:$I$29,8,0),0)+IF(AND(MOD(H2779,30)&gt;18,MOD(H2779,30)&lt;=30),1,0)*VLOOKUP(D2779,'报价表-配送'!$B$24:$I$29,8,0)+IF(AND(MOD(H2779,30)&gt;8,MOD(H2779,30)&lt;=18),1*VLOOKUP(D2779,'报价表-配送'!$B$24:$I$29,7,0),0)+IF(AND(MOD(H2779,30)&lt;=8,MOD(H2779,30)&gt;2.5),1,0)*VLOOKUP(D2779,'报价表-配送'!$B$24:$I$29,6,0)+IF(AND(MOD(H2779,30)&lt;=2.5,MOD(H2779,30)&gt;=1.5),1,0)*VLOOKUP(D2779,'报价表-配送'!$B$24:$I$29,5,0)</f>
        <v>0</v>
      </c>
      <c r="M2779" s="38">
        <f>IF(AND(MOD(H2779,30)&lt;1.5,MOD(H2779,30)&gt;=0.5),H2779,0)*VLOOKUP(D2779,'报价表-配送'!$B$24:$I$29,4,0)*1000+IF(AND(MOD(H2779,30)&lt;0.5,MOD(H2779,30)&gt;=0.02),H2779,0)*VLOOKUP(D2779,'报价表-配送'!$B$24:$I$29,3,0)*1000+IF(AND(MOD(H2779,30)&lt;0.02),H2779,0)*VLOOKUP(D2779,'报价表-配送'!$B$24:$I$29,2,0)*1000</f>
        <v>0</v>
      </c>
      <c r="N2779" s="38">
        <f t="shared" si="42"/>
        <v>0</v>
      </c>
    </row>
    <row r="2780" spans="1:14" x14ac:dyDescent="0.25">
      <c r="A2780" s="37" t="s">
        <v>80</v>
      </c>
      <c r="B2780" s="1" t="s">
        <v>150</v>
      </c>
      <c r="C2780" s="62">
        <f>VLOOKUP(B2780,合并仓明细!$D$2:$F$74,3,0)</f>
        <v>430</v>
      </c>
      <c r="D2780" t="s">
        <v>25</v>
      </c>
      <c r="E2780" s="36" t="s">
        <v>457</v>
      </c>
      <c r="F2780" s="1" t="s">
        <v>68</v>
      </c>
      <c r="G2780" s="1">
        <v>441.61</v>
      </c>
      <c r="H2780" s="35">
        <v>0.92220000000000002</v>
      </c>
      <c r="I2780" s="59">
        <f>ROUNDUP(H2780/30,0)*VLOOKUP(D2780,'报价表-配送'!$B$24:$I$29,8,0)</f>
        <v>0</v>
      </c>
      <c r="N2780" s="38">
        <f t="shared" si="42"/>
        <v>0</v>
      </c>
    </row>
    <row r="2781" spans="1:14" x14ac:dyDescent="0.25">
      <c r="A2781" s="37" t="s">
        <v>80</v>
      </c>
      <c r="B2781" s="1" t="s">
        <v>150</v>
      </c>
      <c r="C2781" s="62">
        <f>VLOOKUP(B2781,合并仓明细!$D$2:$F$74,3,0)</f>
        <v>430</v>
      </c>
      <c r="D2781" t="s">
        <v>25</v>
      </c>
      <c r="E2781" s="36" t="s">
        <v>457</v>
      </c>
      <c r="F2781" s="1" t="s">
        <v>67</v>
      </c>
      <c r="G2781" s="1">
        <v>480.59000000000003</v>
      </c>
      <c r="N2781" s="38">
        <f t="shared" si="42"/>
        <v>0</v>
      </c>
    </row>
    <row r="2782" spans="1:14" x14ac:dyDescent="0.25">
      <c r="A2782" s="37" t="s">
        <v>80</v>
      </c>
      <c r="B2782" s="1" t="s">
        <v>150</v>
      </c>
      <c r="C2782" s="62">
        <f>VLOOKUP(B2782,合并仓明细!$D$2:$F$74,3,0)</f>
        <v>430</v>
      </c>
      <c r="D2782" t="s">
        <v>25</v>
      </c>
      <c r="E2782" s="36" t="s">
        <v>457</v>
      </c>
      <c r="F2782" s="1" t="s">
        <v>66</v>
      </c>
      <c r="G2782" s="104">
        <v>40.56</v>
      </c>
      <c r="H2782" s="104">
        <v>4.0559999999999999E-2</v>
      </c>
      <c r="L2782" s="37">
        <f>IF(H2782&gt;30,QUOTIENT(H2782,30)*VLOOKUP(D2782,'报价表-配送'!$B$24:$I$29,8,0),0)+IF(AND(MOD(H2782,30)&gt;18,MOD(H2782,30)&lt;=30),1,0)*VLOOKUP(D2782,'报价表-配送'!$B$24:$I$29,8,0)+IF(AND(MOD(H2782,30)&gt;8,MOD(H2782,30)&lt;=18),1*VLOOKUP(D2782,'报价表-配送'!$B$24:$I$29,7,0),0)+IF(AND(MOD(H2782,30)&lt;=8,MOD(H2782,30)&gt;2.5),1,0)*VLOOKUP(D2782,'报价表-配送'!$B$24:$I$29,6,0)+IF(AND(MOD(H2782,30)&lt;=2.5,MOD(H2782,30)&gt;=1.5),1,0)*VLOOKUP(D2782,'报价表-配送'!$B$24:$I$29,5,0)</f>
        <v>0</v>
      </c>
      <c r="M2782" s="38">
        <f>IF(AND(MOD(H2782,30)&lt;1.5,MOD(H2782,30)&gt;=0.5),H2782,0)*VLOOKUP(D2782,'报价表-配送'!$B$24:$I$29,4,0)*1000+IF(AND(MOD(H2782,30)&lt;0.5,MOD(H2782,30)&gt;=0.02),H2782,0)*VLOOKUP(D2782,'报价表-配送'!$B$24:$I$29,3,0)*1000+IF(AND(MOD(H2782,30)&lt;0.02),H2782,0)*VLOOKUP(D2782,'报价表-配送'!$B$24:$I$29,2,0)*1000</f>
        <v>0</v>
      </c>
      <c r="N2782" s="38">
        <f t="shared" si="42"/>
        <v>0</v>
      </c>
    </row>
    <row r="2783" spans="1:14" x14ac:dyDescent="0.25">
      <c r="A2783" s="37" t="s">
        <v>80</v>
      </c>
      <c r="B2783" s="1" t="s">
        <v>150</v>
      </c>
      <c r="C2783" s="62">
        <f>VLOOKUP(B2783,合并仓明细!$D$2:$F$74,3,0)</f>
        <v>430</v>
      </c>
      <c r="D2783" t="s">
        <v>25</v>
      </c>
      <c r="E2783" s="36" t="s">
        <v>458</v>
      </c>
      <c r="F2783" s="1" t="s">
        <v>68</v>
      </c>
      <c r="G2783" s="1">
        <v>278.21000000000004</v>
      </c>
      <c r="H2783" s="35">
        <v>3.6240299999999999</v>
      </c>
      <c r="I2783" s="59">
        <f>ROUNDUP(H2783/30,0)*VLOOKUP(D2783,'报价表-配送'!$B$24:$I$29,8,0)</f>
        <v>0</v>
      </c>
      <c r="N2783" s="38">
        <f t="shared" si="42"/>
        <v>0</v>
      </c>
    </row>
    <row r="2784" spans="1:14" x14ac:dyDescent="0.25">
      <c r="A2784" s="37" t="s">
        <v>80</v>
      </c>
      <c r="B2784" s="1" t="s">
        <v>150</v>
      </c>
      <c r="C2784" s="62">
        <f>VLOOKUP(B2784,合并仓明细!$D$2:$F$74,3,0)</f>
        <v>430</v>
      </c>
      <c r="D2784" t="s">
        <v>25</v>
      </c>
      <c r="E2784" s="36" t="s">
        <v>458</v>
      </c>
      <c r="F2784" s="1" t="s">
        <v>67</v>
      </c>
      <c r="G2784" s="1">
        <v>3345.8199999999997</v>
      </c>
      <c r="N2784" s="38">
        <f t="shared" si="42"/>
        <v>0</v>
      </c>
    </row>
    <row r="2785" spans="1:14" x14ac:dyDescent="0.25">
      <c r="A2785" s="37" t="s">
        <v>80</v>
      </c>
      <c r="B2785" s="1" t="s">
        <v>150</v>
      </c>
      <c r="C2785" s="62">
        <f>VLOOKUP(B2785,合并仓明细!$D$2:$F$74,3,0)</f>
        <v>430</v>
      </c>
      <c r="D2785" t="s">
        <v>25</v>
      </c>
      <c r="E2785" s="36" t="s">
        <v>458</v>
      </c>
      <c r="F2785" s="1" t="s">
        <v>66</v>
      </c>
      <c r="G2785" s="104">
        <v>1528.82</v>
      </c>
      <c r="H2785" s="110">
        <v>1.5288199999999998</v>
      </c>
      <c r="L2785" s="37">
        <f>IF(H2785&gt;30,QUOTIENT(H2785,30)*VLOOKUP(D2785,'报价表-配送'!$B$24:$I$29,8,0),0)+IF(AND(MOD(H2785,30)&gt;18,MOD(H2785,30)&lt;=30),1,0)*VLOOKUP(D2785,'报价表-配送'!$B$24:$I$29,8,0)+IF(AND(MOD(H2785,30)&gt;8,MOD(H2785,30)&lt;=18),1*VLOOKUP(D2785,'报价表-配送'!$B$24:$I$29,7,0),0)+IF(AND(MOD(H2785,30)&lt;=8,MOD(H2785,30)&gt;2.5),1,0)*VLOOKUP(D2785,'报价表-配送'!$B$24:$I$29,6,0)+IF(AND(MOD(H2785,30)&lt;=2.5,MOD(H2785,30)&gt;=1.5),1,0)*VLOOKUP(D2785,'报价表-配送'!$B$24:$I$29,5,0)</f>
        <v>0</v>
      </c>
      <c r="M2785" s="38">
        <f>IF(AND(MOD(H2785,30)&lt;1.5,MOD(H2785,30)&gt;=0.5),H2785,0)*VLOOKUP(D2785,'报价表-配送'!$B$24:$I$29,4,0)*1000+IF(AND(MOD(H2785,30)&lt;0.5,MOD(H2785,30)&gt;=0.02),H2785,0)*VLOOKUP(D2785,'报价表-配送'!$B$24:$I$29,3,0)*1000+IF(AND(MOD(H2785,30)&lt;0.02),H2785,0)*VLOOKUP(D2785,'报价表-配送'!$B$24:$I$29,2,0)*1000</f>
        <v>0</v>
      </c>
      <c r="N2785" s="38">
        <f t="shared" si="42"/>
        <v>0</v>
      </c>
    </row>
    <row r="2786" spans="1:14" x14ac:dyDescent="0.25">
      <c r="A2786" s="37" t="s">
        <v>80</v>
      </c>
      <c r="B2786" s="1" t="s">
        <v>150</v>
      </c>
      <c r="C2786" s="62">
        <f>VLOOKUP(B2786,合并仓明细!$D$2:$F$74,3,0)</f>
        <v>430</v>
      </c>
      <c r="D2786" t="s">
        <v>25</v>
      </c>
      <c r="E2786" s="36" t="s">
        <v>459</v>
      </c>
      <c r="F2786" s="1" t="s">
        <v>67</v>
      </c>
      <c r="G2786" s="1">
        <v>9485.67</v>
      </c>
      <c r="H2786" s="35">
        <v>10.5825</v>
      </c>
      <c r="I2786" s="37">
        <f>IF(H2786&gt;30,QUOTIENT(H2786,30)*VLOOKUP(D2786,'报价表-配送'!$B$24:$I$29,8,0),0)+IF(AND(MOD(H2786,30)&gt;18,MOD(H2786,30)&lt;=30),1,0)*VLOOKUP(D2786,'报价表-配送'!$B$24:$I$29,8,0)</f>
        <v>0</v>
      </c>
      <c r="J2786" s="37">
        <f>IF(AND(MOD(H2786,30)&gt;8,MOD(H2786,30)&lt;=18),1*VLOOKUP(D2786,'报价表-配送'!$B$24:$I$29,7,0),0)</f>
        <v>0</v>
      </c>
      <c r="K2786" s="37">
        <f>IF(AND(MOD(H2786,30)&lt;=8,MOD(H2786,30)&gt;0),1,0)*VLOOKUP(D2786,'报价表-配送'!$B$24:$I$29,6,0)</f>
        <v>0</v>
      </c>
      <c r="N2786" s="38">
        <f t="shared" si="42"/>
        <v>0</v>
      </c>
    </row>
    <row r="2787" spans="1:14" x14ac:dyDescent="0.25">
      <c r="A2787" s="37" t="s">
        <v>80</v>
      </c>
      <c r="B2787" s="1" t="s">
        <v>150</v>
      </c>
      <c r="C2787" s="62">
        <f>VLOOKUP(B2787,合并仓明细!$D$2:$F$74,3,0)</f>
        <v>430</v>
      </c>
      <c r="D2787" t="s">
        <v>25</v>
      </c>
      <c r="E2787" s="36" t="s">
        <v>459</v>
      </c>
      <c r="F2787" s="1" t="s">
        <v>66</v>
      </c>
      <c r="G2787" s="1">
        <v>1096.83</v>
      </c>
      <c r="N2787" s="38">
        <f t="shared" si="42"/>
        <v>0</v>
      </c>
    </row>
    <row r="2788" spans="1:14" x14ac:dyDescent="0.25">
      <c r="A2788" s="37" t="s">
        <v>80</v>
      </c>
      <c r="B2788" s="1" t="s">
        <v>151</v>
      </c>
      <c r="C2788" s="62">
        <f>VLOOKUP(B2788,合并仓明细!$D$2:$F$74,3,0)</f>
        <v>216</v>
      </c>
      <c r="D2788" t="s">
        <v>414</v>
      </c>
      <c r="E2788" s="36" t="s">
        <v>460</v>
      </c>
      <c r="F2788" s="1" t="s">
        <v>67</v>
      </c>
      <c r="G2788" s="1">
        <v>324</v>
      </c>
      <c r="H2788" s="35">
        <v>0.46851999999999999</v>
      </c>
      <c r="I2788" s="37">
        <f>IF(H2788&gt;30,QUOTIENT(H2788,30)*VLOOKUP(D2788,'报价表-配送'!$B$24:$I$29,8,0),0)+IF(AND(MOD(H2788,30)&gt;18,MOD(H2788,30)&lt;=30),1,0)*VLOOKUP(D2788,'报价表-配送'!$B$24:$I$29,8,0)</f>
        <v>0</v>
      </c>
      <c r="J2788" s="37">
        <f>IF(AND(MOD(H2788,30)&gt;8,MOD(H2788,30)&lt;=18),1*VLOOKUP(D2788,'报价表-配送'!$B$24:$I$29,7,0),0)</f>
        <v>0</v>
      </c>
      <c r="K2788" s="37">
        <f>IF(AND(MOD(H2788,30)&lt;=8,MOD(H2788,30)&gt;0),1,0)*VLOOKUP(D2788,'报价表-配送'!$B$24:$I$29,6,0)</f>
        <v>0</v>
      </c>
      <c r="N2788" s="38">
        <f t="shared" si="42"/>
        <v>0</v>
      </c>
    </row>
    <row r="2789" spans="1:14" x14ac:dyDescent="0.25">
      <c r="A2789" s="37" t="s">
        <v>80</v>
      </c>
      <c r="B2789" s="1" t="s">
        <v>151</v>
      </c>
      <c r="C2789" s="62">
        <f>VLOOKUP(B2789,合并仓明细!$D$2:$F$74,3,0)</f>
        <v>216</v>
      </c>
      <c r="D2789" t="s">
        <v>414</v>
      </c>
      <c r="E2789" s="36" t="s">
        <v>460</v>
      </c>
      <c r="F2789" s="1" t="s">
        <v>66</v>
      </c>
      <c r="G2789" s="1">
        <v>144.52000000000001</v>
      </c>
      <c r="N2789" s="38">
        <f t="shared" si="42"/>
        <v>0</v>
      </c>
    </row>
    <row r="2790" spans="1:14" x14ac:dyDescent="0.25">
      <c r="A2790" s="37" t="s">
        <v>80</v>
      </c>
      <c r="B2790" s="1" t="s">
        <v>151</v>
      </c>
      <c r="C2790" s="62">
        <f>VLOOKUP(B2790,合并仓明细!$D$2:$F$74,3,0)</f>
        <v>216</v>
      </c>
      <c r="D2790" t="s">
        <v>414</v>
      </c>
      <c r="E2790" s="36" t="s">
        <v>456</v>
      </c>
      <c r="F2790" s="1" t="s">
        <v>66</v>
      </c>
      <c r="G2790" s="1">
        <v>35.049999999999997</v>
      </c>
      <c r="H2790" s="35">
        <v>3.5049999999999998E-2</v>
      </c>
      <c r="L2790" s="37">
        <f>IF(H2790&gt;30,QUOTIENT(H2790,30)*VLOOKUP(D2790,'报价表-配送'!$B$24:$I$29,8,0),0)+IF(AND(MOD(H2790,30)&gt;18,MOD(H2790,30)&lt;=30),1,0)*VLOOKUP(D2790,'报价表-配送'!$B$24:$I$29,8,0)+IF(AND(MOD(H2790,30)&gt;8,MOD(H2790,30)&lt;=18),1*VLOOKUP(D2790,'报价表-配送'!$B$24:$I$29,7,0),0)+IF(AND(MOD(H2790,30)&lt;=8,MOD(H2790,30)&gt;2.5),1,0)*VLOOKUP(D2790,'报价表-配送'!$B$24:$I$29,6,0)+IF(AND(MOD(H2790,30)&lt;=2.5,MOD(H2790,30)&gt;=1.5),1,0)*VLOOKUP(D2790,'报价表-配送'!$B$24:$I$29,5,0)</f>
        <v>0</v>
      </c>
      <c r="M2790" s="38">
        <f>IF(AND(MOD(H2790,30)&lt;1.5,MOD(H2790,30)&gt;=0.5),H2790,0)*VLOOKUP(D2790,'报价表-配送'!$B$24:$I$29,4,0)*1000+IF(AND(MOD(H2790,30)&lt;0.5,MOD(H2790,30)&gt;=0.02),H2790,0)*VLOOKUP(D2790,'报价表-配送'!$B$24:$I$29,3,0)*1000+IF(AND(MOD(H2790,30)&lt;0.02),H2790,0)*VLOOKUP(D2790,'报价表-配送'!$B$24:$I$29,2,0)*1000</f>
        <v>0</v>
      </c>
      <c r="N2790" s="38">
        <f t="shared" si="42"/>
        <v>0</v>
      </c>
    </row>
    <row r="2791" spans="1:14" x14ac:dyDescent="0.25">
      <c r="A2791" s="37" t="s">
        <v>80</v>
      </c>
      <c r="B2791" s="1" t="s">
        <v>151</v>
      </c>
      <c r="C2791" s="62">
        <f>VLOOKUP(B2791,合并仓明细!$D$2:$F$74,3,0)</f>
        <v>216</v>
      </c>
      <c r="D2791" t="s">
        <v>414</v>
      </c>
      <c r="E2791" s="36" t="s">
        <v>457</v>
      </c>
      <c r="F2791" s="1" t="s">
        <v>68</v>
      </c>
      <c r="G2791" s="1">
        <v>2885.6</v>
      </c>
      <c r="H2791" s="35">
        <v>2.8855999999999997</v>
      </c>
      <c r="I2791" s="59">
        <f>ROUNDUP(H2791/30,0)*VLOOKUP(D2791,'报价表-配送'!$B$24:$I$29,8,0)</f>
        <v>0</v>
      </c>
      <c r="N2791" s="38">
        <f t="shared" si="42"/>
        <v>0</v>
      </c>
    </row>
    <row r="2792" spans="1:14" x14ac:dyDescent="0.25">
      <c r="A2792" s="37" t="s">
        <v>80</v>
      </c>
      <c r="B2792" s="1" t="s">
        <v>151</v>
      </c>
      <c r="C2792" s="62">
        <f>VLOOKUP(B2792,合并仓明细!$D$2:$F$74,3,0)</f>
        <v>216</v>
      </c>
      <c r="D2792" t="s">
        <v>414</v>
      </c>
      <c r="E2792" s="36" t="s">
        <v>457</v>
      </c>
      <c r="F2792" s="1" t="s">
        <v>67</v>
      </c>
      <c r="G2792" s="1">
        <v>0</v>
      </c>
      <c r="N2792" s="38">
        <f t="shared" si="42"/>
        <v>0</v>
      </c>
    </row>
    <row r="2793" spans="1:14" x14ac:dyDescent="0.25">
      <c r="A2793" s="37" t="s">
        <v>80</v>
      </c>
      <c r="B2793" s="1" t="s">
        <v>151</v>
      </c>
      <c r="C2793" s="62">
        <f>VLOOKUP(B2793,合并仓明细!$D$2:$F$74,3,0)</f>
        <v>216</v>
      </c>
      <c r="D2793" t="s">
        <v>414</v>
      </c>
      <c r="E2793" s="36" t="s">
        <v>457</v>
      </c>
      <c r="F2793" s="1" t="s">
        <v>66</v>
      </c>
      <c r="G2793" s="1">
        <v>1324.61</v>
      </c>
      <c r="H2793" s="35">
        <v>1.3246099999999998</v>
      </c>
      <c r="L2793" s="37">
        <f>IF(H2793&gt;30,QUOTIENT(H2793,30)*VLOOKUP(D2793,'报价表-配送'!$B$24:$I$29,8,0),0)+IF(AND(MOD(H2793,30)&gt;18,MOD(H2793,30)&lt;=30),1,0)*VLOOKUP(D2793,'报价表-配送'!$B$24:$I$29,8,0)+IF(AND(MOD(H2793,30)&gt;8,MOD(H2793,30)&lt;=18),1*VLOOKUP(D2793,'报价表-配送'!$B$24:$I$29,7,0),0)+IF(AND(MOD(H2793,30)&lt;=8,MOD(H2793,30)&gt;2.5),1,0)*VLOOKUP(D2793,'报价表-配送'!$B$24:$I$29,6,0)+IF(AND(MOD(H2793,30)&lt;=2.5,MOD(H2793,30)&gt;=1.5),1,0)*VLOOKUP(D2793,'报价表-配送'!$B$24:$I$29,5,0)</f>
        <v>0</v>
      </c>
      <c r="M2793" s="38">
        <f>IF(AND(MOD(H2793,30)&lt;1.5,MOD(H2793,30)&gt;=0.5),H2793,0)*VLOOKUP(D2793,'报价表-配送'!$B$24:$I$29,4,0)*1000+IF(AND(MOD(H2793,30)&lt;0.5,MOD(H2793,30)&gt;=0.02),H2793,0)*VLOOKUP(D2793,'报价表-配送'!$B$24:$I$29,3,0)*1000+IF(AND(MOD(H2793,30)&lt;0.02),H2793,0)*VLOOKUP(D2793,'报价表-配送'!$B$24:$I$29,2,0)*1000</f>
        <v>0</v>
      </c>
      <c r="N2793" s="38">
        <f t="shared" si="42"/>
        <v>0</v>
      </c>
    </row>
    <row r="2794" spans="1:14" x14ac:dyDescent="0.25">
      <c r="A2794" s="37" t="s">
        <v>80</v>
      </c>
      <c r="B2794" s="1" t="s">
        <v>151</v>
      </c>
      <c r="C2794" s="62">
        <f>VLOOKUP(B2794,合并仓明细!$D$2:$F$74,3,0)</f>
        <v>216</v>
      </c>
      <c r="D2794" t="s">
        <v>414</v>
      </c>
      <c r="E2794" s="36" t="s">
        <v>458</v>
      </c>
      <c r="F2794" s="1" t="s">
        <v>67</v>
      </c>
      <c r="G2794" s="1">
        <v>6269.63</v>
      </c>
      <c r="H2794" s="35">
        <v>6.2696300000000003</v>
      </c>
      <c r="I2794" s="37">
        <f>IF(H2794&gt;30,QUOTIENT(H2794,30)*VLOOKUP(D2794,'报价表-配送'!$B$24:$I$29,8,0),0)+IF(AND(MOD(H2794,30)&gt;18,MOD(H2794,30)&lt;=30),1,0)*VLOOKUP(D2794,'报价表-配送'!$B$24:$I$29,8,0)</f>
        <v>0</v>
      </c>
      <c r="J2794" s="37">
        <f>IF(AND(MOD(H2794,30)&gt;8,MOD(H2794,30)&lt;=18),1*VLOOKUP(D2794,'报价表-配送'!$B$24:$I$29,7,0),0)</f>
        <v>0</v>
      </c>
      <c r="K2794" s="37">
        <f>IF(AND(MOD(H2794,30)&lt;=8,MOD(H2794,30)&gt;0),1,0)*VLOOKUP(D2794,'报价表-配送'!$B$24:$I$29,6,0)</f>
        <v>0</v>
      </c>
      <c r="N2794" s="38">
        <f t="shared" si="42"/>
        <v>0</v>
      </c>
    </row>
    <row r="2795" spans="1:14" x14ac:dyDescent="0.25">
      <c r="A2795" s="37" t="s">
        <v>80</v>
      </c>
      <c r="B2795" s="1" t="s">
        <v>151</v>
      </c>
      <c r="C2795" s="62">
        <f>VLOOKUP(B2795,合并仓明细!$D$2:$F$74,3,0)</f>
        <v>216</v>
      </c>
      <c r="D2795" t="s">
        <v>414</v>
      </c>
      <c r="E2795" s="36" t="s">
        <v>458</v>
      </c>
      <c r="F2795" s="1" t="s">
        <v>66</v>
      </c>
      <c r="G2795" s="1">
        <v>1672.5299999999997</v>
      </c>
      <c r="H2795" s="1">
        <v>1.6725299999999999</v>
      </c>
      <c r="L2795" s="37">
        <f>IF(H2795&gt;30,QUOTIENT(H2795,30)*VLOOKUP(D2795,'报价表-配送'!$B$24:$I$29,8,0),0)+IF(AND(MOD(H2795,30)&gt;18,MOD(H2795,30)&lt;=30),1,0)*VLOOKUP(D2795,'报价表-配送'!$B$24:$I$29,8,0)+IF(AND(MOD(H2795,30)&gt;8,MOD(H2795,30)&lt;=18),1*VLOOKUP(D2795,'报价表-配送'!$B$24:$I$29,7,0),0)+IF(AND(MOD(H2795,30)&lt;=8,MOD(H2795,30)&gt;2.5),1,0)*VLOOKUP(D2795,'报价表-配送'!$B$24:$I$29,6,0)+IF(AND(MOD(H2795,30)&lt;=2.5,MOD(H2795,30)&gt;=1.5),1,0)*VLOOKUP(D2795,'报价表-配送'!$B$24:$I$29,5,0)</f>
        <v>0</v>
      </c>
      <c r="M2795" s="38">
        <f>IF(AND(MOD(H2795,30)&lt;1.5,MOD(H2795,30)&gt;=0.5),H2795,0)*VLOOKUP(D2795,'报价表-配送'!$B$24:$I$29,4,0)*1000+IF(AND(MOD(H2795,30)&lt;0.5,MOD(H2795,30)&gt;=0.02),H2795,0)*VLOOKUP(D2795,'报价表-配送'!$B$24:$I$29,3,0)*1000+IF(AND(MOD(H2795,30)&lt;0.02),H2795,0)*VLOOKUP(D2795,'报价表-配送'!$B$24:$I$29,2,0)*1000</f>
        <v>0</v>
      </c>
      <c r="N2795" s="38">
        <f t="shared" si="42"/>
        <v>0</v>
      </c>
    </row>
    <row r="2796" spans="1:14" x14ac:dyDescent="0.25">
      <c r="A2796" s="37" t="s">
        <v>80</v>
      </c>
      <c r="B2796" s="1" t="s">
        <v>151</v>
      </c>
      <c r="C2796" s="62">
        <f>VLOOKUP(B2796,合并仓明细!$D$2:$F$74,3,0)</f>
        <v>216</v>
      </c>
      <c r="D2796" t="s">
        <v>414</v>
      </c>
      <c r="E2796" s="36" t="s">
        <v>459</v>
      </c>
      <c r="F2796" s="1" t="s">
        <v>68</v>
      </c>
      <c r="G2796" s="1">
        <v>126.88</v>
      </c>
      <c r="H2796" s="35">
        <v>0.63164999999999982</v>
      </c>
      <c r="I2796" s="59">
        <f>ROUNDUP(H2796/30,0)*VLOOKUP(D2796,'报价表-配送'!$B$24:$I$29,8,0)</f>
        <v>0</v>
      </c>
      <c r="N2796" s="38">
        <f t="shared" si="42"/>
        <v>0</v>
      </c>
    </row>
    <row r="2797" spans="1:14" x14ac:dyDescent="0.25">
      <c r="A2797" s="37" t="s">
        <v>80</v>
      </c>
      <c r="B2797" s="1" t="s">
        <v>151</v>
      </c>
      <c r="C2797" s="62">
        <f>VLOOKUP(B2797,合并仓明细!$D$2:$F$74,3,0)</f>
        <v>216</v>
      </c>
      <c r="D2797" t="s">
        <v>414</v>
      </c>
      <c r="E2797" s="36" t="s">
        <v>459</v>
      </c>
      <c r="F2797" s="1" t="s">
        <v>66</v>
      </c>
      <c r="G2797" s="1">
        <v>504.76999999999992</v>
      </c>
      <c r="N2797" s="38">
        <f t="shared" si="42"/>
        <v>0</v>
      </c>
    </row>
    <row r="2798" spans="1:14" x14ac:dyDescent="0.25">
      <c r="A2798" s="108" t="s">
        <v>80</v>
      </c>
      <c r="B2798" s="104" t="s">
        <v>152</v>
      </c>
      <c r="C2798" s="62">
        <f>VLOOKUP(B2798,合并仓明细!$D$2:$F$74,3,0)</f>
        <v>114</v>
      </c>
      <c r="D2798" s="103" t="s">
        <v>413</v>
      </c>
      <c r="E2798" s="109" t="s">
        <v>460</v>
      </c>
      <c r="F2798" s="103" t="s">
        <v>67</v>
      </c>
      <c r="G2798">
        <v>39000</v>
      </c>
      <c r="H2798">
        <v>39</v>
      </c>
      <c r="I2798" s="37">
        <f>IF(H2798&gt;30,QUOTIENT(H2798,30)*VLOOKUP(D2798,'报价表-配送'!$B$24:$I$29,8,0),0)+IF(AND(MOD(H2798,30)&gt;18,MOD(H2798,30)&lt;=30),1,0)*VLOOKUP(D2798,'报价表-配送'!$B$24:$I$29,8,0)</f>
        <v>0</v>
      </c>
      <c r="J2798" s="37">
        <f>IF(AND(MOD(H2798,30)&gt;8,MOD(H2798,30)&lt;=18),1*VLOOKUP(D2798,'报价表-配送'!$B$24:$I$29,7,0),0)</f>
        <v>0</v>
      </c>
      <c r="K2798" s="37">
        <f>IF(AND(MOD(H2798,30)&lt;=8,MOD(H2798,30)&gt;0),1,0)*VLOOKUP(D2798,'报价表-配送'!$B$24:$I$29,6,0)</f>
        <v>0</v>
      </c>
      <c r="N2798" s="38">
        <f t="shared" si="42"/>
        <v>0</v>
      </c>
    </row>
    <row r="2799" spans="1:14" x14ac:dyDescent="0.25">
      <c r="A2799" s="108" t="s">
        <v>80</v>
      </c>
      <c r="B2799" s="104" t="s">
        <v>152</v>
      </c>
      <c r="C2799" s="62">
        <f>VLOOKUP(B2799,合并仓明细!$D$2:$F$74,3,0)</f>
        <v>114</v>
      </c>
      <c r="D2799" s="103" t="s">
        <v>413</v>
      </c>
      <c r="E2799" s="109" t="s">
        <v>457</v>
      </c>
      <c r="F2799" s="103" t="s">
        <v>67</v>
      </c>
      <c r="G2799">
        <v>3000</v>
      </c>
      <c r="H2799">
        <v>3</v>
      </c>
      <c r="I2799" s="37">
        <f>IF(H2799&gt;30,QUOTIENT(H2799,30)*VLOOKUP(D2799,'报价表-配送'!$B$24:$I$29,8,0),0)+IF(AND(MOD(H2799,30)&gt;18,MOD(H2799,30)&lt;=30),1,0)*VLOOKUP(D2799,'报价表-配送'!$B$24:$I$29,8,0)</f>
        <v>0</v>
      </c>
      <c r="J2799" s="37">
        <f>IF(AND(MOD(H2799,30)&gt;8,MOD(H2799,30)&lt;=18),1*VLOOKUP(D2799,'报价表-配送'!$B$24:$I$29,7,0),0)</f>
        <v>0</v>
      </c>
      <c r="K2799" s="37">
        <f>IF(AND(MOD(H2799,30)&lt;=8,MOD(H2799,30)&gt;0),1,0)*VLOOKUP(D2799,'报价表-配送'!$B$24:$I$29,6,0)</f>
        <v>0</v>
      </c>
      <c r="N2799" s="38">
        <f t="shared" si="42"/>
        <v>0</v>
      </c>
    </row>
    <row r="2800" spans="1:14" x14ac:dyDescent="0.25">
      <c r="A2800" s="108" t="s">
        <v>80</v>
      </c>
      <c r="B2800" s="104" t="s">
        <v>152</v>
      </c>
      <c r="C2800" s="62">
        <f>VLOOKUP(B2800,合并仓明细!$D$2:$F$74,3,0)</f>
        <v>114</v>
      </c>
      <c r="D2800" s="103" t="s">
        <v>413</v>
      </c>
      <c r="E2800" s="109" t="s">
        <v>457</v>
      </c>
      <c r="F2800" s="105" t="s">
        <v>66</v>
      </c>
      <c r="G2800">
        <v>1600</v>
      </c>
      <c r="H2800">
        <v>1.6</v>
      </c>
      <c r="L2800" s="37">
        <f>IF(H2800&gt;30,QUOTIENT(H2800,30)*VLOOKUP(D2800,'报价表-配送'!$B$24:$I$29,8,0),0)+IF(AND(MOD(H2800,30)&gt;18,MOD(H2800,30)&lt;=30),1,0)*VLOOKUP(D2800,'报价表-配送'!$B$24:$I$29,8,0)+IF(AND(MOD(H2800,30)&gt;8,MOD(H2800,30)&lt;=18),1*VLOOKUP(D2800,'报价表-配送'!$B$24:$I$29,7,0),0)+IF(AND(MOD(H2800,30)&lt;=8,MOD(H2800,30)&gt;2.5),1,0)*VLOOKUP(D2800,'报价表-配送'!$B$24:$I$29,6,0)+IF(AND(MOD(H2800,30)&lt;=2.5,MOD(H2800,30)&gt;=1.5),1,0)*VLOOKUP(D2800,'报价表-配送'!$B$24:$I$29,5,0)</f>
        <v>0</v>
      </c>
      <c r="M2800" s="38">
        <f>IF(AND(MOD(H2800,30)&lt;1.5,MOD(H2800,30)&gt;=0.5),H2800,0)*VLOOKUP(D2800,'报价表-配送'!$B$24:$I$29,4,0)*1000+IF(AND(MOD(H2800,30)&lt;0.5,MOD(H2800,30)&gt;=0.02),H2800,0)*VLOOKUP(D2800,'报价表-配送'!$B$24:$I$29,3,0)*1000+IF(AND(MOD(H2800,30)&lt;0.02),H2800,0)*VLOOKUP(D2800,'报价表-配送'!$B$24:$I$29,2,0)*1000</f>
        <v>0</v>
      </c>
      <c r="N2800" s="38">
        <f t="shared" si="42"/>
        <v>0</v>
      </c>
    </row>
    <row r="2801" spans="1:14" x14ac:dyDescent="0.25">
      <c r="A2801" s="108" t="s">
        <v>80</v>
      </c>
      <c r="B2801" s="104" t="s">
        <v>152</v>
      </c>
      <c r="C2801" s="62">
        <f>VLOOKUP(B2801,合并仓明细!$D$2:$F$74,3,0)</f>
        <v>114</v>
      </c>
      <c r="D2801" s="103" t="s">
        <v>413</v>
      </c>
      <c r="E2801" s="109" t="s">
        <v>457</v>
      </c>
      <c r="F2801" s="105" t="s">
        <v>66</v>
      </c>
      <c r="G2801">
        <v>510</v>
      </c>
      <c r="H2801">
        <v>0.51</v>
      </c>
      <c r="L2801" s="37">
        <f>IF(H2801&gt;30,QUOTIENT(H2801,30)*VLOOKUP(D2801,'报价表-配送'!$B$24:$I$29,8,0),0)+IF(AND(MOD(H2801,30)&gt;18,MOD(H2801,30)&lt;=30),1,0)*VLOOKUP(D2801,'报价表-配送'!$B$24:$I$29,8,0)+IF(AND(MOD(H2801,30)&gt;8,MOD(H2801,30)&lt;=18),1*VLOOKUP(D2801,'报价表-配送'!$B$24:$I$29,7,0),0)+IF(AND(MOD(H2801,30)&lt;=8,MOD(H2801,30)&gt;2.5),1,0)*VLOOKUP(D2801,'报价表-配送'!$B$24:$I$29,6,0)+IF(AND(MOD(H2801,30)&lt;=2.5,MOD(H2801,30)&gt;=1.5),1,0)*VLOOKUP(D2801,'报价表-配送'!$B$24:$I$29,5,0)</f>
        <v>0</v>
      </c>
      <c r="M2801" s="38">
        <f>IF(AND(MOD(H2801,30)&lt;1.5,MOD(H2801,30)&gt;=0.5),H2801,0)*VLOOKUP(D2801,'报价表-配送'!$B$24:$I$29,4,0)*1000+IF(AND(MOD(H2801,30)&lt;0.5,MOD(H2801,30)&gt;=0.02),H2801,0)*VLOOKUP(D2801,'报价表-配送'!$B$24:$I$29,3,0)*1000+IF(AND(MOD(H2801,30)&lt;0.02),H2801,0)*VLOOKUP(D2801,'报价表-配送'!$B$24:$I$29,2,0)*1000</f>
        <v>0</v>
      </c>
      <c r="N2801" s="38">
        <f t="shared" si="42"/>
        <v>0</v>
      </c>
    </row>
    <row r="2802" spans="1:14" x14ac:dyDescent="0.25">
      <c r="A2802" s="37" t="s">
        <v>80</v>
      </c>
      <c r="B2802" s="1" t="s">
        <v>152</v>
      </c>
      <c r="C2802" s="62">
        <f>VLOOKUP(B2802,合并仓明细!$D$2:$F$74,3,0)</f>
        <v>114</v>
      </c>
      <c r="D2802" t="s">
        <v>413</v>
      </c>
      <c r="E2802" s="36" t="s">
        <v>460</v>
      </c>
      <c r="F2802" s="1" t="s">
        <v>66</v>
      </c>
      <c r="G2802" s="1">
        <v>24.68</v>
      </c>
      <c r="H2802" s="35">
        <v>2.4680000000000001E-2</v>
      </c>
      <c r="L2802" s="37">
        <f>IF(H2802&gt;30,QUOTIENT(H2802,30)*VLOOKUP(D2802,'报价表-配送'!$B$24:$I$29,8,0),0)+IF(AND(MOD(H2802,30)&gt;18,MOD(H2802,30)&lt;=30),1,0)*VLOOKUP(D2802,'报价表-配送'!$B$24:$I$29,8,0)+IF(AND(MOD(H2802,30)&gt;8,MOD(H2802,30)&lt;=18),1*VLOOKUP(D2802,'报价表-配送'!$B$24:$I$29,7,0),0)+IF(AND(MOD(H2802,30)&lt;=8,MOD(H2802,30)&gt;2.5),1,0)*VLOOKUP(D2802,'报价表-配送'!$B$24:$I$29,6,0)+IF(AND(MOD(H2802,30)&lt;=2.5,MOD(H2802,30)&gt;=1.5),1,0)*VLOOKUP(D2802,'报价表-配送'!$B$24:$I$29,5,0)</f>
        <v>0</v>
      </c>
      <c r="M2802" s="38">
        <f>IF(AND(MOD(H2802,30)&lt;1.5,MOD(H2802,30)&gt;=0.5),H2802,0)*VLOOKUP(D2802,'报价表-配送'!$B$24:$I$29,4,0)*1000+IF(AND(MOD(H2802,30)&lt;0.5,MOD(H2802,30)&gt;=0.02),H2802,0)*VLOOKUP(D2802,'报价表-配送'!$B$24:$I$29,3,0)*1000+IF(AND(MOD(H2802,30)&lt;0.02),H2802,0)*VLOOKUP(D2802,'报价表-配送'!$B$24:$I$29,2,0)*1000</f>
        <v>0</v>
      </c>
      <c r="N2802" s="38">
        <f t="shared" si="42"/>
        <v>0</v>
      </c>
    </row>
    <row r="2803" spans="1:14" x14ac:dyDescent="0.25">
      <c r="A2803" s="37" t="s">
        <v>80</v>
      </c>
      <c r="B2803" s="1" t="s">
        <v>152</v>
      </c>
      <c r="C2803" s="62">
        <f>VLOOKUP(B2803,合并仓明细!$D$2:$F$74,3,0)</f>
        <v>114</v>
      </c>
      <c r="D2803" t="s">
        <v>413</v>
      </c>
      <c r="E2803" s="36" t="s">
        <v>457</v>
      </c>
      <c r="F2803" s="1" t="s">
        <v>66</v>
      </c>
      <c r="G2803" s="1">
        <v>2</v>
      </c>
      <c r="H2803">
        <v>2E-3</v>
      </c>
      <c r="L2803" s="37">
        <f>IF(H2803&gt;30,QUOTIENT(H2803,30)*VLOOKUP(D2803,'报价表-配送'!$B$24:$I$29,8,0),0)+IF(AND(MOD(H2803,30)&gt;18,MOD(H2803,30)&lt;=30),1,0)*VLOOKUP(D2803,'报价表-配送'!$B$24:$I$29,8,0)+IF(AND(MOD(H2803,30)&gt;8,MOD(H2803,30)&lt;=18),1*VLOOKUP(D2803,'报价表-配送'!$B$24:$I$29,7,0),0)+IF(AND(MOD(H2803,30)&lt;=8,MOD(H2803,30)&gt;2.5),1,0)*VLOOKUP(D2803,'报价表-配送'!$B$24:$I$29,6,0)+IF(AND(MOD(H2803,30)&lt;=2.5,MOD(H2803,30)&gt;=1.5),1,0)*VLOOKUP(D2803,'报价表-配送'!$B$24:$I$29,5,0)</f>
        <v>0</v>
      </c>
      <c r="M2803" s="38">
        <f>IF(AND(MOD(H2803,30)&lt;1.5,MOD(H2803,30)&gt;=0.5),H2803,0)*VLOOKUP(D2803,'报价表-配送'!$B$24:$I$29,4,0)*1000+IF(AND(MOD(H2803,30)&lt;0.5,MOD(H2803,30)&gt;=0.02),H2803,0)*VLOOKUP(D2803,'报价表-配送'!$B$24:$I$29,3,0)*1000+IF(AND(MOD(H2803,30)&lt;0.02),H2803,0)*VLOOKUP(D2803,'报价表-配送'!$B$24:$I$29,2,0)*1000</f>
        <v>0</v>
      </c>
      <c r="N2803" s="38">
        <f t="shared" si="42"/>
        <v>0</v>
      </c>
    </row>
    <row r="2804" spans="1:14" x14ac:dyDescent="0.25">
      <c r="A2804" s="108" t="s">
        <v>80</v>
      </c>
      <c r="B2804" s="104" t="s">
        <v>152</v>
      </c>
      <c r="C2804" s="62">
        <f>VLOOKUP(B2804,合并仓明细!$D$2:$F$74,3,0)</f>
        <v>114</v>
      </c>
      <c r="D2804" s="103" t="s">
        <v>513</v>
      </c>
      <c r="E2804" s="109" t="s">
        <v>457</v>
      </c>
      <c r="F2804" s="103" t="s">
        <v>67</v>
      </c>
      <c r="G2804">
        <v>39000</v>
      </c>
      <c r="H2804">
        <v>39</v>
      </c>
      <c r="I2804" s="37">
        <f>IF(H2804&gt;30,QUOTIENT(H2804,30)*VLOOKUP(D2804,'报价表-配送'!$B$24:$I$29,8,0),0)+IF(AND(MOD(H2804,30)&gt;18,MOD(H2804,30)&lt;=30),1,0)*VLOOKUP(D2804,'报价表-配送'!$B$24:$I$29,8,0)</f>
        <v>0</v>
      </c>
      <c r="J2804" s="37">
        <f>IF(AND(MOD(H2804,30)&gt;8,MOD(H2804,30)&lt;=18),1*VLOOKUP(D2804,'报价表-配送'!$B$24:$I$29,7,0),0)</f>
        <v>0</v>
      </c>
      <c r="K2804" s="37">
        <f>IF(AND(MOD(H2804,30)&lt;=8,MOD(H2804,30)&gt;0),1,0)*VLOOKUP(D2804,'报价表-配送'!$B$24:$I$29,6,0)</f>
        <v>0</v>
      </c>
      <c r="L2804" s="37"/>
      <c r="M2804" s="38"/>
      <c r="N2804" s="38">
        <f t="shared" si="42"/>
        <v>0</v>
      </c>
    </row>
    <row r="2805" spans="1:14" x14ac:dyDescent="0.25">
      <c r="A2805" s="108" t="s">
        <v>80</v>
      </c>
      <c r="B2805" s="104" t="s">
        <v>152</v>
      </c>
      <c r="C2805" s="62">
        <f>VLOOKUP(B2805,合并仓明细!$D$2:$F$74,3,0)</f>
        <v>114</v>
      </c>
      <c r="D2805" s="103" t="s">
        <v>513</v>
      </c>
      <c r="E2805" s="109" t="s">
        <v>457</v>
      </c>
      <c r="F2805" s="103" t="s">
        <v>67</v>
      </c>
      <c r="G2805">
        <v>8000</v>
      </c>
      <c r="H2805">
        <v>8</v>
      </c>
      <c r="I2805" s="37">
        <f>IF(H2805&gt;30,QUOTIENT(H2805,30)*VLOOKUP(D2805,'报价表-配送'!$B$24:$I$29,8,0),0)+IF(AND(MOD(H2805,30)&gt;18,MOD(H2805,30)&lt;=30),1,0)*VLOOKUP(D2805,'报价表-配送'!$B$24:$I$29,8,0)</f>
        <v>0</v>
      </c>
      <c r="J2805" s="37">
        <f>IF(AND(MOD(H2805,30)&gt;8,MOD(H2805,30)&lt;=18),1*VLOOKUP(D2805,'报价表-配送'!$B$24:$I$29,7,0),0)</f>
        <v>0</v>
      </c>
      <c r="K2805" s="37">
        <f>IF(AND(MOD(H2805,30)&lt;=8,MOD(H2805,30)&gt;0),1,0)*VLOOKUP(D2805,'报价表-配送'!$B$24:$I$29,6,0)</f>
        <v>0</v>
      </c>
      <c r="L2805" s="37"/>
      <c r="M2805" s="38"/>
      <c r="N2805" s="38">
        <f t="shared" si="42"/>
        <v>0</v>
      </c>
    </row>
    <row r="2806" spans="1:14" x14ac:dyDescent="0.25">
      <c r="A2806" s="108" t="s">
        <v>80</v>
      </c>
      <c r="B2806" s="104" t="s">
        <v>152</v>
      </c>
      <c r="C2806" s="62">
        <f>VLOOKUP(B2806,合并仓明细!$D$2:$F$74,3,0)</f>
        <v>114</v>
      </c>
      <c r="D2806" s="103" t="s">
        <v>513</v>
      </c>
      <c r="E2806" s="109" t="s">
        <v>457</v>
      </c>
      <c r="F2806" s="105" t="s">
        <v>66</v>
      </c>
      <c r="G2806">
        <v>2500</v>
      </c>
      <c r="H2806">
        <v>2.5</v>
      </c>
      <c r="L2806" s="37">
        <f>IF(H2806&gt;30,QUOTIENT(H2806,30)*VLOOKUP(D2806,'报价表-配送'!$B$24:$I$29,8,0),0)+IF(AND(MOD(H2806,30)&gt;18,MOD(H2806,30)&lt;=30),1,0)*VLOOKUP(D2806,'报价表-配送'!$B$24:$I$29,8,0)+IF(AND(MOD(H2806,30)&gt;8,MOD(H2806,30)&lt;=18),1*VLOOKUP(D2806,'报价表-配送'!$B$24:$I$29,7,0),0)+IF(AND(MOD(H2806,30)&lt;=8,MOD(H2806,30)&gt;2.5),1,0)*VLOOKUP(D2806,'报价表-配送'!$B$24:$I$29,6,0)+IF(AND(MOD(H2806,30)&lt;=2.5,MOD(H2806,30)&gt;=1.5),1,0)*VLOOKUP(D2806,'报价表-配送'!$B$24:$I$29,5,0)</f>
        <v>0</v>
      </c>
      <c r="M2806" s="38">
        <f>IF(AND(MOD(H2806,30)&lt;1.5,MOD(H2806,30)&gt;=0.5),H2806,0)*VLOOKUP(D2806,'报价表-配送'!$B$24:$I$29,4,0)*1000+IF(AND(MOD(H2806,30)&lt;0.5,MOD(H2806,30)&gt;=0.02),H2806,0)*VLOOKUP(D2806,'报价表-配送'!$B$24:$I$29,3,0)*1000+IF(AND(MOD(H2806,30)&lt;0.02),H2806,0)*VLOOKUP(D2806,'报价表-配送'!$B$24:$I$29,2,0)*1000</f>
        <v>0</v>
      </c>
      <c r="N2806" s="38">
        <f t="shared" si="42"/>
        <v>0</v>
      </c>
    </row>
    <row r="2807" spans="1:14" x14ac:dyDescent="0.25">
      <c r="A2807" s="108" t="s">
        <v>80</v>
      </c>
      <c r="B2807" s="104" t="s">
        <v>152</v>
      </c>
      <c r="C2807" s="62">
        <f>VLOOKUP(B2807,合并仓明细!$D$2:$F$74,3,0)</f>
        <v>114</v>
      </c>
      <c r="D2807" s="103" t="s">
        <v>513</v>
      </c>
      <c r="E2807" s="109" t="s">
        <v>457</v>
      </c>
      <c r="F2807" s="105" t="s">
        <v>66</v>
      </c>
      <c r="G2807">
        <v>1000</v>
      </c>
      <c r="H2807">
        <v>1</v>
      </c>
      <c r="L2807" s="37">
        <f>IF(H2807&gt;30,QUOTIENT(H2807,30)*VLOOKUP(D2807,'报价表-配送'!$B$24:$I$29,8,0),0)+IF(AND(MOD(H2807,30)&gt;18,MOD(H2807,30)&lt;=30),1,0)*VLOOKUP(D2807,'报价表-配送'!$B$24:$I$29,8,0)+IF(AND(MOD(H2807,30)&gt;8,MOD(H2807,30)&lt;=18),1*VLOOKUP(D2807,'报价表-配送'!$B$24:$I$29,7,0),0)+IF(AND(MOD(H2807,30)&lt;=8,MOD(H2807,30)&gt;2.5),1,0)*VLOOKUP(D2807,'报价表-配送'!$B$24:$I$29,6,0)+IF(AND(MOD(H2807,30)&lt;=2.5,MOD(H2807,30)&gt;=1.5),1,0)*VLOOKUP(D2807,'报价表-配送'!$B$24:$I$29,5,0)</f>
        <v>0</v>
      </c>
      <c r="M2807" s="38">
        <f>IF(AND(MOD(H2807,30)&lt;1.5,MOD(H2807,30)&gt;=0.5),H2807,0)*VLOOKUP(D2807,'报价表-配送'!$B$24:$I$29,4,0)*1000+IF(AND(MOD(H2807,30)&lt;0.5,MOD(H2807,30)&gt;=0.02),H2807,0)*VLOOKUP(D2807,'报价表-配送'!$B$24:$I$29,3,0)*1000+IF(AND(MOD(H2807,30)&lt;0.02),H2807,0)*VLOOKUP(D2807,'报价表-配送'!$B$24:$I$29,2,0)*1000</f>
        <v>0</v>
      </c>
      <c r="N2807" s="38">
        <f t="shared" si="42"/>
        <v>0</v>
      </c>
    </row>
    <row r="2808" spans="1:14" x14ac:dyDescent="0.25">
      <c r="A2808" s="108" t="s">
        <v>80</v>
      </c>
      <c r="B2808" s="104" t="s">
        <v>152</v>
      </c>
      <c r="C2808" s="62">
        <f>VLOOKUP(B2808,合并仓明细!$D$2:$F$74,3,0)</f>
        <v>114</v>
      </c>
      <c r="D2808" s="103" t="s">
        <v>513</v>
      </c>
      <c r="E2808" s="109" t="s">
        <v>457</v>
      </c>
      <c r="F2808" s="105" t="s">
        <v>66</v>
      </c>
      <c r="G2808">
        <v>400</v>
      </c>
      <c r="H2808">
        <v>0.4</v>
      </c>
      <c r="L2808" s="37">
        <f>IF(H2808&gt;30,QUOTIENT(H2808,30)*VLOOKUP(D2808,'报价表-配送'!$B$24:$I$29,8,0),0)+IF(AND(MOD(H2808,30)&gt;18,MOD(H2808,30)&lt;=30),1,0)*VLOOKUP(D2808,'报价表-配送'!$B$24:$I$29,8,0)+IF(AND(MOD(H2808,30)&gt;8,MOD(H2808,30)&lt;=18),1*VLOOKUP(D2808,'报价表-配送'!$B$24:$I$29,7,0),0)+IF(AND(MOD(H2808,30)&lt;=8,MOD(H2808,30)&gt;2.5),1,0)*VLOOKUP(D2808,'报价表-配送'!$B$24:$I$29,6,0)+IF(AND(MOD(H2808,30)&lt;=2.5,MOD(H2808,30)&gt;=1.5),1,0)*VLOOKUP(D2808,'报价表-配送'!$B$24:$I$29,5,0)</f>
        <v>0</v>
      </c>
      <c r="M2808" s="38">
        <f>IF(AND(MOD(H2808,30)&lt;1.5,MOD(H2808,30)&gt;=0.5),H2808,0)*VLOOKUP(D2808,'报价表-配送'!$B$24:$I$29,4,0)*1000+IF(AND(MOD(H2808,30)&lt;0.5,MOD(H2808,30)&gt;=0.02),H2808,0)*VLOOKUP(D2808,'报价表-配送'!$B$24:$I$29,3,0)*1000+IF(AND(MOD(H2808,30)&lt;0.02),H2808,0)*VLOOKUP(D2808,'报价表-配送'!$B$24:$I$29,2,0)*1000</f>
        <v>0</v>
      </c>
      <c r="N2808" s="38">
        <f t="shared" si="42"/>
        <v>0</v>
      </c>
    </row>
    <row r="2809" spans="1:14" x14ac:dyDescent="0.25">
      <c r="A2809" s="108" t="s">
        <v>80</v>
      </c>
      <c r="B2809" s="104" t="s">
        <v>152</v>
      </c>
      <c r="C2809" s="62">
        <f>VLOOKUP(B2809,合并仓明细!$D$2:$F$74,3,0)</f>
        <v>114</v>
      </c>
      <c r="D2809" s="103" t="s">
        <v>513</v>
      </c>
      <c r="E2809" s="109" t="s">
        <v>457</v>
      </c>
      <c r="F2809" s="105" t="s">
        <v>66</v>
      </c>
      <c r="G2809">
        <v>2</v>
      </c>
      <c r="H2809">
        <v>2E-3</v>
      </c>
      <c r="L2809" s="37">
        <f>IF(H2809&gt;30,QUOTIENT(H2809,30)*VLOOKUP(D2809,'报价表-配送'!$B$24:$I$29,8,0),0)+IF(AND(MOD(H2809,30)&gt;18,MOD(H2809,30)&lt;=30),1,0)*VLOOKUP(D2809,'报价表-配送'!$B$24:$I$29,8,0)+IF(AND(MOD(H2809,30)&gt;8,MOD(H2809,30)&lt;=18),1*VLOOKUP(D2809,'报价表-配送'!$B$24:$I$29,7,0),0)+IF(AND(MOD(H2809,30)&lt;=8,MOD(H2809,30)&gt;2.5),1,0)*VLOOKUP(D2809,'报价表-配送'!$B$24:$I$29,6,0)+IF(AND(MOD(H2809,30)&lt;=2.5,MOD(H2809,30)&gt;=1.5),1,0)*VLOOKUP(D2809,'报价表-配送'!$B$24:$I$29,5,0)</f>
        <v>0</v>
      </c>
      <c r="M2809" s="38">
        <f>IF(AND(MOD(H2809,30)&lt;1.5,MOD(H2809,30)&gt;=0.5),H2809,0)*VLOOKUP(D2809,'报价表-配送'!$B$24:$I$29,4,0)*1000+IF(AND(MOD(H2809,30)&lt;0.5,MOD(H2809,30)&gt;=0.02),H2809,0)*VLOOKUP(D2809,'报价表-配送'!$B$24:$I$29,3,0)*1000+IF(AND(MOD(H2809,30)&lt;0.02),H2809,0)*VLOOKUP(D2809,'报价表-配送'!$B$24:$I$29,2,0)*1000</f>
        <v>0</v>
      </c>
      <c r="N2809" s="38">
        <f t="shared" si="42"/>
        <v>0</v>
      </c>
    </row>
    <row r="2810" spans="1:14" x14ac:dyDescent="0.25">
      <c r="A2810" s="37" t="s">
        <v>80</v>
      </c>
      <c r="B2810" s="1" t="s">
        <v>153</v>
      </c>
      <c r="C2810" s="62">
        <f>VLOOKUP(B2810,合并仓明细!$D$2:$F$74,3,0)</f>
        <v>289</v>
      </c>
      <c r="D2810" t="s">
        <v>414</v>
      </c>
      <c r="E2810" s="36" t="s">
        <v>456</v>
      </c>
      <c r="F2810" s="1" t="s">
        <v>68</v>
      </c>
      <c r="G2810" s="1">
        <v>3850.48</v>
      </c>
      <c r="H2810" s="35">
        <v>4.81107</v>
      </c>
      <c r="I2810" s="59">
        <f>ROUNDUP(H2810/30,0)*VLOOKUP(D2810,'报价表-配送'!$B$24:$I$29,8,0)</f>
        <v>0</v>
      </c>
      <c r="N2810" s="38">
        <f t="shared" si="42"/>
        <v>0</v>
      </c>
    </row>
    <row r="2811" spans="1:14" x14ac:dyDescent="0.25">
      <c r="A2811" s="37" t="s">
        <v>80</v>
      </c>
      <c r="B2811" s="1" t="s">
        <v>153</v>
      </c>
      <c r="C2811" s="62">
        <f>VLOOKUP(B2811,合并仓明细!$D$2:$F$74,3,0)</f>
        <v>289</v>
      </c>
      <c r="D2811" t="s">
        <v>414</v>
      </c>
      <c r="E2811" s="36" t="s">
        <v>456</v>
      </c>
      <c r="F2811" s="1" t="s">
        <v>66</v>
      </c>
      <c r="G2811" s="1">
        <v>960.58999999999992</v>
      </c>
      <c r="N2811" s="38">
        <f t="shared" si="42"/>
        <v>0</v>
      </c>
    </row>
    <row r="2812" spans="1:14" x14ac:dyDescent="0.25">
      <c r="A2812" s="37" t="s">
        <v>80</v>
      </c>
      <c r="B2812" s="1" t="s">
        <v>153</v>
      </c>
      <c r="C2812" s="62">
        <f>VLOOKUP(B2812,合并仓明细!$D$2:$F$74,3,0)</f>
        <v>289</v>
      </c>
      <c r="D2812" t="s">
        <v>414</v>
      </c>
      <c r="E2812" s="36" t="s">
        <v>457</v>
      </c>
      <c r="F2812" s="1" t="s">
        <v>67</v>
      </c>
      <c r="G2812" s="1">
        <v>8603.33</v>
      </c>
      <c r="H2812" s="35">
        <v>9.9158600000000003</v>
      </c>
      <c r="I2812" s="37">
        <f>IF(H2812&gt;30,QUOTIENT(H2812,30)*VLOOKUP(D2812,'报价表-配送'!$B$24:$I$29,8,0),0)+IF(AND(MOD(H2812,30)&gt;18,MOD(H2812,30)&lt;=30),1,0)*VLOOKUP(D2812,'报价表-配送'!$B$24:$I$29,8,0)</f>
        <v>0</v>
      </c>
      <c r="J2812" s="37">
        <f>IF(AND(MOD(H2812,30)&gt;8,MOD(H2812,30)&lt;=18),1*VLOOKUP(D2812,'报价表-配送'!$B$24:$I$29,7,0),0)</f>
        <v>0</v>
      </c>
      <c r="K2812" s="37">
        <f>IF(AND(MOD(H2812,30)&lt;=8,MOD(H2812,30)&gt;0),1,0)*VLOOKUP(D2812,'报价表-配送'!$B$24:$I$29,6,0)</f>
        <v>0</v>
      </c>
      <c r="N2812" s="38">
        <f t="shared" si="42"/>
        <v>0</v>
      </c>
    </row>
    <row r="2813" spans="1:14" x14ac:dyDescent="0.25">
      <c r="A2813" s="37" t="s">
        <v>80</v>
      </c>
      <c r="B2813" s="1" t="s">
        <v>153</v>
      </c>
      <c r="C2813" s="62">
        <f>VLOOKUP(B2813,合并仓明细!$D$2:$F$74,3,0)</f>
        <v>289</v>
      </c>
      <c r="D2813" t="s">
        <v>414</v>
      </c>
      <c r="E2813" s="36" t="s">
        <v>457</v>
      </c>
      <c r="F2813" s="1" t="s">
        <v>66</v>
      </c>
      <c r="G2813" s="1">
        <v>1312.53</v>
      </c>
      <c r="N2813" s="38">
        <f t="shared" si="42"/>
        <v>0</v>
      </c>
    </row>
    <row r="2814" spans="1:14" x14ac:dyDescent="0.25">
      <c r="A2814" s="37" t="s">
        <v>80</v>
      </c>
      <c r="B2814" s="1" t="s">
        <v>153</v>
      </c>
      <c r="C2814" s="62">
        <f>VLOOKUP(B2814,合并仓明细!$D$2:$F$74,3,0)</f>
        <v>289</v>
      </c>
      <c r="D2814" t="s">
        <v>414</v>
      </c>
      <c r="E2814" s="36" t="s">
        <v>459</v>
      </c>
      <c r="F2814" s="1" t="s">
        <v>66</v>
      </c>
      <c r="G2814" s="1">
        <v>211.75</v>
      </c>
      <c r="H2814" s="35">
        <v>0.21174999999999999</v>
      </c>
      <c r="L2814" s="37">
        <f>IF(H2814&gt;30,QUOTIENT(H2814,30)*VLOOKUP(D2814,'报价表-配送'!$B$24:$I$29,8,0),0)+IF(AND(MOD(H2814,30)&gt;18,MOD(H2814,30)&lt;=30),1,0)*VLOOKUP(D2814,'报价表-配送'!$B$24:$I$29,8,0)+IF(AND(MOD(H2814,30)&gt;8,MOD(H2814,30)&lt;=18),1*VLOOKUP(D2814,'报价表-配送'!$B$24:$I$29,7,0),0)+IF(AND(MOD(H2814,30)&lt;=8,MOD(H2814,30)&gt;2.5),1,0)*VLOOKUP(D2814,'报价表-配送'!$B$24:$I$29,6,0)+IF(AND(MOD(H2814,30)&lt;=2.5,MOD(H2814,30)&gt;=1.5),1,0)*VLOOKUP(D2814,'报价表-配送'!$B$24:$I$29,5,0)</f>
        <v>0</v>
      </c>
      <c r="M2814" s="38">
        <f>IF(AND(MOD(H2814,30)&lt;1.5,MOD(H2814,30)&gt;=0.5),H2814,0)*VLOOKUP(D2814,'报价表-配送'!$B$24:$I$29,4,0)*1000+IF(AND(MOD(H2814,30)&lt;0.5,MOD(H2814,30)&gt;=0.02),H2814,0)*VLOOKUP(D2814,'报价表-配送'!$B$24:$I$29,3,0)*1000+IF(AND(MOD(H2814,30)&lt;0.02),H2814,0)*VLOOKUP(D2814,'报价表-配送'!$B$24:$I$29,2,0)*1000</f>
        <v>0</v>
      </c>
      <c r="N2814" s="38">
        <f t="shared" si="42"/>
        <v>0</v>
      </c>
    </row>
    <row r="2815" spans="1:14" x14ac:dyDescent="0.25">
      <c r="A2815" s="121" t="s">
        <v>103</v>
      </c>
      <c r="B2815" s="121" t="s">
        <v>180</v>
      </c>
      <c r="C2815" s="62">
        <f>VLOOKUP(B2815,合并仓明细!$D$2:$F$74,3,0)</f>
        <v>170</v>
      </c>
      <c r="D2815" s="122" t="s">
        <v>413</v>
      </c>
      <c r="E2815" s="123">
        <v>46042</v>
      </c>
      <c r="F2815" s="121" t="s">
        <v>68</v>
      </c>
      <c r="G2815" s="121">
        <v>3037.6117999999997</v>
      </c>
      <c r="H2815" s="124">
        <v>14.124203848589998</v>
      </c>
      <c r="I2815" s="46">
        <f>ROUNDUP(H2815/30,0)*VLOOKUP(D2815,'报价表-配送'!$B$47:$I$51,8,0)</f>
        <v>0</v>
      </c>
      <c r="J2815" s="125"/>
      <c r="K2815" s="125"/>
      <c r="L2815" s="121"/>
      <c r="M2815" s="126"/>
      <c r="N2815" s="127">
        <f t="shared" ref="N2815" si="43">SUM(I2815:L2815)</f>
        <v>0</v>
      </c>
    </row>
    <row r="2816" spans="1:14" x14ac:dyDescent="0.25">
      <c r="A2816" s="121" t="s">
        <v>103</v>
      </c>
      <c r="B2816" s="121" t="s">
        <v>180</v>
      </c>
      <c r="C2816" s="62">
        <f>VLOOKUP(B2816,合并仓明细!$D$2:$F$74,3,0)</f>
        <v>170</v>
      </c>
      <c r="D2816" s="122" t="s">
        <v>413</v>
      </c>
      <c r="E2816" s="123">
        <v>46042</v>
      </c>
      <c r="F2816" s="121" t="s">
        <v>67</v>
      </c>
      <c r="G2816" s="121">
        <v>9609.9512152999996</v>
      </c>
      <c r="H2816" s="124"/>
      <c r="I2816" s="125"/>
      <c r="J2816" s="125"/>
      <c r="K2816" s="125"/>
      <c r="L2816" s="121"/>
      <c r="M2816" s="126"/>
      <c r="N2816" s="121"/>
    </row>
    <row r="2817" spans="1:14" x14ac:dyDescent="0.25">
      <c r="A2817" s="121" t="s">
        <v>103</v>
      </c>
      <c r="B2817" s="121" t="s">
        <v>180</v>
      </c>
      <c r="C2817" s="62">
        <f>VLOOKUP(B2817,合并仓明细!$D$2:$F$74,3,0)</f>
        <v>170</v>
      </c>
      <c r="D2817" s="122" t="s">
        <v>413</v>
      </c>
      <c r="E2817" s="123">
        <v>46042</v>
      </c>
      <c r="F2817" s="121" t="s">
        <v>66</v>
      </c>
      <c r="G2817" s="121">
        <v>1476.6408332899996</v>
      </c>
      <c r="H2817" s="124"/>
      <c r="I2817" s="125"/>
      <c r="J2817" s="125"/>
      <c r="K2817" s="125"/>
      <c r="L2817" s="121"/>
      <c r="M2817" s="126"/>
      <c r="N2817" s="121"/>
    </row>
    <row r="2818" spans="1:14" x14ac:dyDescent="0.25">
      <c r="A2818" s="121" t="s">
        <v>103</v>
      </c>
      <c r="B2818" s="121" t="s">
        <v>180</v>
      </c>
      <c r="C2818" s="62">
        <f>VLOOKUP(B2818,合并仓明细!$D$2:$F$74,3,0)</f>
        <v>170</v>
      </c>
      <c r="D2818" s="122" t="s">
        <v>413</v>
      </c>
      <c r="E2818" s="123">
        <v>46058</v>
      </c>
      <c r="F2818" s="121" t="s">
        <v>68</v>
      </c>
      <c r="G2818" s="121">
        <v>1089.9187200000001</v>
      </c>
      <c r="H2818" s="124">
        <v>11.9413639547</v>
      </c>
      <c r="I2818" s="46">
        <f>ROUNDUP(H2818/30,0)*VLOOKUP(D2818,'报价表-配送'!$B$47:$I$51,8,0)</f>
        <v>0</v>
      </c>
      <c r="J2818" s="125"/>
      <c r="K2818" s="125"/>
      <c r="L2818" s="121"/>
      <c r="M2818" s="126"/>
      <c r="N2818" s="127">
        <f t="shared" ref="N2818" si="44">SUM(I2818:L2818)</f>
        <v>0</v>
      </c>
    </row>
    <row r="2819" spans="1:14" x14ac:dyDescent="0.25">
      <c r="A2819" s="121" t="s">
        <v>103</v>
      </c>
      <c r="B2819" s="121" t="s">
        <v>180</v>
      </c>
      <c r="C2819" s="62">
        <f>VLOOKUP(B2819,合并仓明细!$D$2:$F$74,3,0)</f>
        <v>170</v>
      </c>
      <c r="D2819" s="122" t="s">
        <v>413</v>
      </c>
      <c r="E2819" s="123">
        <v>46058</v>
      </c>
      <c r="F2819" s="121" t="s">
        <v>67</v>
      </c>
      <c r="G2819" s="121">
        <v>10820.090234700001</v>
      </c>
      <c r="H2819" s="124"/>
      <c r="I2819" s="125"/>
      <c r="J2819" s="125"/>
      <c r="K2819" s="125"/>
      <c r="L2819" s="121"/>
      <c r="M2819" s="126"/>
      <c r="N2819" s="121"/>
    </row>
    <row r="2820" spans="1:14" x14ac:dyDescent="0.25">
      <c r="A2820" s="121" t="s">
        <v>103</v>
      </c>
      <c r="B2820" s="121" t="s">
        <v>180</v>
      </c>
      <c r="C2820" s="62">
        <f>VLOOKUP(B2820,合并仓明细!$D$2:$F$74,3,0)</f>
        <v>170</v>
      </c>
      <c r="D2820" s="122" t="s">
        <v>413</v>
      </c>
      <c r="E2820" s="123">
        <v>46058</v>
      </c>
      <c r="F2820" s="121" t="s">
        <v>66</v>
      </c>
      <c r="G2820" s="121">
        <v>31.355</v>
      </c>
      <c r="H2820" s="124"/>
      <c r="I2820" s="125"/>
      <c r="J2820" s="125"/>
      <c r="K2820" s="125"/>
      <c r="L2820" s="121"/>
      <c r="M2820" s="126"/>
      <c r="N2820" s="121"/>
    </row>
    <row r="2821" spans="1:14" x14ac:dyDescent="0.25">
      <c r="A2821" s="121" t="s">
        <v>103</v>
      </c>
      <c r="B2821" s="121" t="s">
        <v>180</v>
      </c>
      <c r="C2821" s="62">
        <f>VLOOKUP(B2821,合并仓明细!$D$2:$F$74,3,0)</f>
        <v>170</v>
      </c>
      <c r="D2821" s="122" t="s">
        <v>413</v>
      </c>
      <c r="E2821" s="123">
        <v>46090</v>
      </c>
      <c r="F2821" s="121" t="s">
        <v>67</v>
      </c>
      <c r="G2821" s="121">
        <v>199.66735</v>
      </c>
      <c r="H2821" s="124">
        <v>0.84256276664000007</v>
      </c>
      <c r="I2821" s="38">
        <f>IF(H2821&gt;30,QUOTIENT(H2821,30)*VLOOKUP(D2821,'报价表-配送'!$B$47:$I$51,8,0),0)+IF(AND(MOD(H2821,30)&gt;18,MOD(H2821,30)&lt;=30),1,0)*VLOOKUP(D2821,'报价表-配送'!$B$47:$I$51,8,0)</f>
        <v>0</v>
      </c>
      <c r="J2821" s="38">
        <f>IF(AND(MOD(H2821,30)&gt;8,MOD(H2821,30)&lt;=18),1*VLOOKUP(D2821,'报价表-配送'!$B$47:$I$51,7,0),0)</f>
        <v>0</v>
      </c>
      <c r="K2821" s="38">
        <f>IF(AND(MOD(H2821,30)&lt;=8,MOD(H2821,30)&gt;0),1,0)*VLOOKUP(D2821,'报价表-配送'!$B$47:$I$51,6,0)</f>
        <v>0</v>
      </c>
      <c r="L2821" s="121"/>
      <c r="M2821" s="126"/>
      <c r="N2821" s="127">
        <f t="shared" ref="N2821" si="45">SUM(I2821:L2821)</f>
        <v>0</v>
      </c>
    </row>
    <row r="2822" spans="1:14" x14ac:dyDescent="0.25">
      <c r="A2822" s="121" t="s">
        <v>103</v>
      </c>
      <c r="B2822" s="121" t="s">
        <v>180</v>
      </c>
      <c r="C2822" s="62">
        <f>VLOOKUP(B2822,合并仓明细!$D$2:$F$74,3,0)</f>
        <v>170</v>
      </c>
      <c r="D2822" s="122" t="s">
        <v>413</v>
      </c>
      <c r="E2822" s="123">
        <v>46090</v>
      </c>
      <c r="F2822" s="121" t="s">
        <v>66</v>
      </c>
      <c r="G2822" s="121">
        <v>642.89541664000001</v>
      </c>
      <c r="H2822" s="124"/>
      <c r="I2822" s="125"/>
      <c r="J2822" s="125"/>
      <c r="K2822" s="125"/>
      <c r="L2822" s="121"/>
      <c r="M2822" s="126"/>
      <c r="N2822" s="121"/>
    </row>
    <row r="2823" spans="1:14" x14ac:dyDescent="0.25">
      <c r="A2823" s="121" t="s">
        <v>103</v>
      </c>
      <c r="B2823" s="121" t="s">
        <v>180</v>
      </c>
      <c r="C2823" s="62">
        <f>VLOOKUP(B2823,合并仓明细!$D$2:$F$74,3,0)</f>
        <v>170</v>
      </c>
      <c r="D2823" s="122" t="s">
        <v>413</v>
      </c>
      <c r="E2823" s="123">
        <v>46105</v>
      </c>
      <c r="F2823" s="121" t="s">
        <v>66</v>
      </c>
      <c r="G2823" s="121">
        <v>9.0824999999999996</v>
      </c>
      <c r="H2823" s="124">
        <v>9.0825000000000003E-3</v>
      </c>
      <c r="I2823" s="125"/>
      <c r="J2823" s="125"/>
      <c r="K2823" s="125"/>
      <c r="L2823" s="37">
        <f>IF(H2823&gt;30,QUOTIENT(H2823,30)*VLOOKUP(D2823,'报价表-配送'!$B$47:$I$51,8,0),0)+IF(AND(MOD(H2823,30)&gt;18,MOD(H2823,30)&lt;=30),1,0)*VLOOKUP(D2823,'报价表-配送'!$B$47:$I$51,8,0)+IF(AND(MOD(H2823,30)&gt;8,MOD(H2823,30)&lt;=18),1*VLOOKUP(D2823,'报价表-配送'!$B$47:$I$51,7,0),0)+IF(AND(MOD(H2823,30)&lt;=8,MOD(H2823,30)&gt;2.5),1,0)*VLOOKUP(D2823,'报价表-配送'!$B$47:$I$51,6,0)+IF(AND(MOD(H2823,30)&lt;=2.5,MOD(H2823,30)&gt;=1.5),1,0)*VLOOKUP(D2823,'报价表-配送'!$B$47:$I$51,5,0)</f>
        <v>0</v>
      </c>
      <c r="M2823" s="39">
        <f>IF(AND(MOD(H2823,30)&lt;1.5,MOD(H2823,30)&gt;=0.5),H2823,0)*VLOOKUP(D2823,'报价表-配送'!$B$47:$I$51,4,0)*1000+IF(AND(MOD(H2823,30)&lt;0.5,MOD(H2823,30)&gt;=0.02),H2823,0)*VLOOKUP(D2823,'报价表-配送'!$B$47:$I$51,3,0)*1000+IF(AND(MOD(H2823,30)&lt;0.02),H2823,0)*VLOOKUP(D2823,'报价表-配送'!$B$47:$I$51,2,0)*1000</f>
        <v>0</v>
      </c>
      <c r="N2823" s="127">
        <f t="shared" ref="N2823:N2824" si="46">SUM(I2823:L2823)</f>
        <v>0</v>
      </c>
    </row>
    <row r="2824" spans="1:14" x14ac:dyDescent="0.25">
      <c r="A2824" s="121" t="s">
        <v>103</v>
      </c>
      <c r="B2824" s="121" t="s">
        <v>104</v>
      </c>
      <c r="C2824" s="62">
        <f>VLOOKUP(B2824,合并仓明细!$D$2:$F$74,3,0)</f>
        <v>132</v>
      </c>
      <c r="D2824" s="122" t="s">
        <v>413</v>
      </c>
      <c r="E2824" s="123">
        <v>45946</v>
      </c>
      <c r="F2824" s="121" t="s">
        <v>68</v>
      </c>
      <c r="G2824" s="121">
        <v>12.77148</v>
      </c>
      <c r="H2824" s="124">
        <v>6.2505914046700006</v>
      </c>
      <c r="I2824" s="46">
        <f>ROUNDUP(H2824/30,0)*VLOOKUP(D2824,'报价表-配送'!$B$47:$I$51,8,0)</f>
        <v>0</v>
      </c>
      <c r="J2824" s="125"/>
      <c r="K2824" s="125"/>
      <c r="L2824" s="121"/>
      <c r="M2824" s="126"/>
      <c r="N2824" s="127">
        <f t="shared" si="46"/>
        <v>0</v>
      </c>
    </row>
    <row r="2825" spans="1:14" x14ac:dyDescent="0.25">
      <c r="A2825" s="121" t="s">
        <v>103</v>
      </c>
      <c r="B2825" s="121" t="s">
        <v>104</v>
      </c>
      <c r="C2825" s="62">
        <f>VLOOKUP(B2825,合并仓明细!$D$2:$F$74,3,0)</f>
        <v>132</v>
      </c>
      <c r="D2825" s="122" t="s">
        <v>413</v>
      </c>
      <c r="E2825" s="123">
        <v>45946</v>
      </c>
      <c r="F2825" s="121" t="s">
        <v>67</v>
      </c>
      <c r="G2825" s="121">
        <v>6100.8632580000003</v>
      </c>
      <c r="H2825" s="124"/>
      <c r="I2825" s="125"/>
      <c r="J2825" s="125"/>
      <c r="K2825" s="125"/>
      <c r="L2825" s="121"/>
      <c r="M2825" s="126"/>
      <c r="N2825" s="121"/>
    </row>
    <row r="2826" spans="1:14" x14ac:dyDescent="0.25">
      <c r="A2826" s="121" t="s">
        <v>103</v>
      </c>
      <c r="B2826" s="121" t="s">
        <v>104</v>
      </c>
      <c r="C2826" s="62">
        <f>VLOOKUP(B2826,合并仓明细!$D$2:$F$74,3,0)</f>
        <v>132</v>
      </c>
      <c r="D2826" s="122" t="s">
        <v>413</v>
      </c>
      <c r="E2826" s="123">
        <v>45946</v>
      </c>
      <c r="F2826" s="121" t="s">
        <v>66</v>
      </c>
      <c r="G2826" s="121">
        <v>136.95666666999998</v>
      </c>
      <c r="H2826" s="124"/>
      <c r="I2826" s="125"/>
      <c r="J2826" s="125"/>
      <c r="K2826" s="125"/>
      <c r="L2826" s="121"/>
      <c r="M2826" s="126"/>
      <c r="N2826" s="121"/>
    </row>
    <row r="2827" spans="1:14" x14ac:dyDescent="0.25">
      <c r="A2827" s="121" t="s">
        <v>103</v>
      </c>
      <c r="B2827" s="121" t="s">
        <v>104</v>
      </c>
      <c r="C2827" s="62">
        <f>VLOOKUP(B2827,合并仓明细!$D$2:$F$74,3,0)</f>
        <v>132</v>
      </c>
      <c r="D2827" s="122" t="s">
        <v>413</v>
      </c>
      <c r="E2827" s="123">
        <v>45953</v>
      </c>
      <c r="F2827" s="121" t="s">
        <v>68</v>
      </c>
      <c r="G2827" s="121">
        <v>731.60424000000012</v>
      </c>
      <c r="H2827" s="124">
        <v>2.8044738383200003</v>
      </c>
      <c r="I2827" s="46">
        <f>ROUNDUP(H2827/30,0)*VLOOKUP(D2827,'报价表-配送'!$B$47:$I$51,8,0)</f>
        <v>0</v>
      </c>
      <c r="J2827" s="125"/>
      <c r="K2827" s="125"/>
      <c r="L2827" s="121"/>
      <c r="M2827" s="126"/>
      <c r="N2827" s="127">
        <f t="shared" ref="N2827" si="47">SUM(I2827:L2827)</f>
        <v>0</v>
      </c>
    </row>
    <row r="2828" spans="1:14" x14ac:dyDescent="0.25">
      <c r="A2828" s="121" t="s">
        <v>103</v>
      </c>
      <c r="B2828" s="121" t="s">
        <v>104</v>
      </c>
      <c r="C2828" s="62">
        <f>VLOOKUP(B2828,合并仓明细!$D$2:$F$74,3,0)</f>
        <v>132</v>
      </c>
      <c r="D2828" s="122" t="s">
        <v>413</v>
      </c>
      <c r="E2828" s="123">
        <v>45953</v>
      </c>
      <c r="F2828" s="121" t="s">
        <v>67</v>
      </c>
      <c r="G2828" s="121">
        <v>762.37543200000005</v>
      </c>
      <c r="H2828" s="124"/>
      <c r="I2828" s="125"/>
      <c r="J2828" s="125"/>
      <c r="K2828" s="125"/>
      <c r="L2828" s="121"/>
      <c r="M2828" s="126"/>
      <c r="N2828" s="121"/>
    </row>
    <row r="2829" spans="1:14" x14ac:dyDescent="0.25">
      <c r="A2829" s="121" t="s">
        <v>103</v>
      </c>
      <c r="B2829" s="121" t="s">
        <v>104</v>
      </c>
      <c r="C2829" s="62">
        <f>VLOOKUP(B2829,合并仓明细!$D$2:$F$74,3,0)</f>
        <v>132</v>
      </c>
      <c r="D2829" s="122" t="s">
        <v>413</v>
      </c>
      <c r="E2829" s="123">
        <v>45953</v>
      </c>
      <c r="F2829" s="121" t="s">
        <v>66</v>
      </c>
      <c r="G2829" s="121">
        <v>1310.4941663199997</v>
      </c>
      <c r="H2829" s="124"/>
      <c r="I2829" s="125"/>
      <c r="J2829" s="125"/>
      <c r="K2829" s="125"/>
      <c r="L2829" s="121"/>
      <c r="M2829" s="126"/>
      <c r="N2829" s="121"/>
    </row>
    <row r="2830" spans="1:14" x14ac:dyDescent="0.25">
      <c r="A2830" s="121" t="s">
        <v>103</v>
      </c>
      <c r="B2830" s="121" t="s">
        <v>104</v>
      </c>
      <c r="C2830" s="62">
        <f>VLOOKUP(B2830,合并仓明细!$D$2:$F$74,3,0)</f>
        <v>132</v>
      </c>
      <c r="D2830" s="122" t="s">
        <v>413</v>
      </c>
      <c r="E2830" s="123">
        <v>45967</v>
      </c>
      <c r="F2830" s="121" t="s">
        <v>68</v>
      </c>
      <c r="G2830" s="121">
        <v>1063.9712399999999</v>
      </c>
      <c r="H2830" s="124">
        <v>9.6138977322999981</v>
      </c>
      <c r="I2830" s="46">
        <f>ROUNDUP(H2830/30,0)*VLOOKUP(D2830,'报价表-配送'!$B$47:$I$51,8,0)</f>
        <v>0</v>
      </c>
      <c r="J2830" s="125"/>
      <c r="K2830" s="125"/>
      <c r="L2830" s="121"/>
      <c r="M2830" s="126"/>
      <c r="N2830" s="127">
        <f t="shared" ref="N2830" si="48">SUM(I2830:L2830)</f>
        <v>0</v>
      </c>
    </row>
    <row r="2831" spans="1:14" x14ac:dyDescent="0.25">
      <c r="A2831" s="121" t="s">
        <v>103</v>
      </c>
      <c r="B2831" s="121" t="s">
        <v>104</v>
      </c>
      <c r="C2831" s="62">
        <f>VLOOKUP(B2831,合并仓明细!$D$2:$F$74,3,0)</f>
        <v>132</v>
      </c>
      <c r="D2831" s="122" t="s">
        <v>413</v>
      </c>
      <c r="E2831" s="123">
        <v>45967</v>
      </c>
      <c r="F2831" s="121" t="s">
        <v>67</v>
      </c>
      <c r="G2831" s="121">
        <v>6872.9698259999996</v>
      </c>
      <c r="H2831" s="124"/>
      <c r="I2831" s="125"/>
      <c r="J2831" s="125"/>
      <c r="K2831" s="125"/>
      <c r="L2831" s="121"/>
      <c r="M2831" s="126"/>
      <c r="N2831" s="121"/>
    </row>
    <row r="2832" spans="1:14" x14ac:dyDescent="0.25">
      <c r="A2832" s="121" t="s">
        <v>103</v>
      </c>
      <c r="B2832" s="121" t="s">
        <v>104</v>
      </c>
      <c r="C2832" s="62">
        <f>VLOOKUP(B2832,合并仓明细!$D$2:$F$74,3,0)</f>
        <v>132</v>
      </c>
      <c r="D2832" s="122" t="s">
        <v>413</v>
      </c>
      <c r="E2832" s="123">
        <v>45967</v>
      </c>
      <c r="F2832" s="121" t="s">
        <v>66</v>
      </c>
      <c r="G2832" s="121">
        <v>1676.9566662999991</v>
      </c>
      <c r="H2832" s="124"/>
      <c r="I2832" s="125"/>
      <c r="J2832" s="125"/>
      <c r="K2832" s="125"/>
      <c r="L2832" s="121"/>
      <c r="M2832" s="126"/>
      <c r="N2832" s="121"/>
    </row>
    <row r="2833" spans="1:14" x14ac:dyDescent="0.25">
      <c r="A2833" s="121" t="s">
        <v>103</v>
      </c>
      <c r="B2833" s="121" t="s">
        <v>104</v>
      </c>
      <c r="C2833" s="62">
        <f>VLOOKUP(B2833,合并仓明细!$D$2:$F$74,3,0)</f>
        <v>132</v>
      </c>
      <c r="D2833" s="122" t="s">
        <v>413</v>
      </c>
      <c r="E2833" s="123">
        <v>45971</v>
      </c>
      <c r="F2833" s="121" t="s">
        <v>66</v>
      </c>
      <c r="G2833" s="121">
        <v>115.5</v>
      </c>
      <c r="H2833" s="124">
        <v>0.11550000000000001</v>
      </c>
      <c r="I2833" s="125"/>
      <c r="J2833" s="125"/>
      <c r="K2833" s="125"/>
      <c r="L2833" s="37">
        <f>IF(H2833&gt;30,QUOTIENT(H2833,30)*VLOOKUP(D2833,'报价表-配送'!$B$47:$I$51,8,0),0)+IF(AND(MOD(H2833,30)&gt;18,MOD(H2833,30)&lt;=30),1,0)*VLOOKUP(D2833,'报价表-配送'!$B$47:$I$51,8,0)+IF(AND(MOD(H2833,30)&gt;8,MOD(H2833,30)&lt;=18),1*VLOOKUP(D2833,'报价表-配送'!$B$47:$I$51,7,0),0)+IF(AND(MOD(H2833,30)&lt;=8,MOD(H2833,30)&gt;2.5),1,0)*VLOOKUP(D2833,'报价表-配送'!$B$47:$I$51,6,0)+IF(AND(MOD(H2833,30)&lt;=2.5,MOD(H2833,30)&gt;=1.5),1,0)*VLOOKUP(D2833,'报价表-配送'!$B$47:$I$51,5,0)</f>
        <v>0</v>
      </c>
      <c r="M2833" s="39">
        <f>IF(AND(MOD(H2833,30)&lt;1.5,MOD(H2833,30)&gt;=0.5),H2833,0)*VLOOKUP(D2833,'报价表-配送'!$B$47:$I$51,4,0)*1000+IF(AND(MOD(H2833,30)&lt;0.5,MOD(H2833,30)&gt;=0.02),H2833,0)*VLOOKUP(D2833,'报价表-配送'!$B$47:$I$51,3,0)*1000+IF(AND(MOD(H2833,30)&lt;0.02),H2833,0)*VLOOKUP(D2833,'报价表-配送'!$B$47:$I$51,2,0)*1000</f>
        <v>0</v>
      </c>
      <c r="N2833" s="127">
        <f t="shared" ref="N2833:N2834" si="49">SUM(I2833:L2833)</f>
        <v>0</v>
      </c>
    </row>
    <row r="2834" spans="1:14" x14ac:dyDescent="0.25">
      <c r="A2834" s="121" t="s">
        <v>103</v>
      </c>
      <c r="B2834" s="121" t="s">
        <v>104</v>
      </c>
      <c r="C2834" s="62">
        <f>VLOOKUP(B2834,合并仓明细!$D$2:$F$74,3,0)</f>
        <v>132</v>
      </c>
      <c r="D2834" s="122" t="s">
        <v>413</v>
      </c>
      <c r="E2834" s="123">
        <v>45974</v>
      </c>
      <c r="F2834" s="121" t="s">
        <v>68</v>
      </c>
      <c r="G2834" s="121">
        <v>447.0018</v>
      </c>
      <c r="H2834" s="124">
        <v>4.2818996209999991</v>
      </c>
      <c r="I2834" s="46">
        <f>ROUNDUP(H2834/30,0)*VLOOKUP(D2834,'报价表-配送'!$B$47:$I$51,8,0)</f>
        <v>0</v>
      </c>
      <c r="J2834" s="125"/>
      <c r="K2834" s="125"/>
      <c r="L2834" s="121"/>
      <c r="M2834" s="126"/>
      <c r="N2834" s="127">
        <f t="shared" si="49"/>
        <v>0</v>
      </c>
    </row>
    <row r="2835" spans="1:14" x14ac:dyDescent="0.25">
      <c r="A2835" s="121" t="s">
        <v>103</v>
      </c>
      <c r="B2835" s="121" t="s">
        <v>104</v>
      </c>
      <c r="C2835" s="62">
        <f>VLOOKUP(B2835,合并仓明细!$D$2:$F$74,3,0)</f>
        <v>132</v>
      </c>
      <c r="D2835" s="122" t="s">
        <v>413</v>
      </c>
      <c r="E2835" s="123">
        <v>45974</v>
      </c>
      <c r="F2835" s="121" t="s">
        <v>67</v>
      </c>
      <c r="G2835" s="121">
        <v>1239.6365710000002</v>
      </c>
      <c r="H2835" s="124"/>
      <c r="I2835" s="125"/>
      <c r="J2835" s="125"/>
      <c r="K2835" s="125"/>
      <c r="L2835" s="121"/>
      <c r="M2835" s="126"/>
      <c r="N2835" s="121"/>
    </row>
    <row r="2836" spans="1:14" x14ac:dyDescent="0.25">
      <c r="A2836" s="121" t="s">
        <v>103</v>
      </c>
      <c r="B2836" s="121" t="s">
        <v>104</v>
      </c>
      <c r="C2836" s="62">
        <f>VLOOKUP(B2836,合并仓明细!$D$2:$F$74,3,0)</f>
        <v>132</v>
      </c>
      <c r="D2836" s="122" t="s">
        <v>413</v>
      </c>
      <c r="E2836" s="123">
        <v>45974</v>
      </c>
      <c r="F2836" s="121" t="s">
        <v>66</v>
      </c>
      <c r="G2836" s="121">
        <v>2595.2612499999982</v>
      </c>
      <c r="H2836" s="124"/>
      <c r="I2836" s="125"/>
      <c r="J2836" s="125"/>
      <c r="K2836" s="125"/>
      <c r="L2836" s="121"/>
      <c r="M2836" s="126"/>
      <c r="N2836" s="121"/>
    </row>
    <row r="2837" spans="1:14" x14ac:dyDescent="0.25">
      <c r="A2837" s="121" t="s">
        <v>103</v>
      </c>
      <c r="B2837" s="121" t="s">
        <v>104</v>
      </c>
      <c r="C2837" s="62">
        <f>VLOOKUP(B2837,合并仓明细!$D$2:$F$74,3,0)</f>
        <v>132</v>
      </c>
      <c r="D2837" s="122" t="s">
        <v>413</v>
      </c>
      <c r="E2837" s="123">
        <v>45980</v>
      </c>
      <c r="F2837" s="121" t="s">
        <v>68</v>
      </c>
      <c r="G2837" s="121">
        <v>576.90611999999999</v>
      </c>
      <c r="H2837" s="124">
        <v>2.6656307481599999</v>
      </c>
      <c r="I2837" s="46">
        <f>ROUNDUP(H2837/30,0)*VLOOKUP(D2837,'报价表-配送'!$B$47:$I$51,8,0)</f>
        <v>0</v>
      </c>
      <c r="J2837" s="125"/>
      <c r="K2837" s="125"/>
      <c r="L2837" s="121"/>
      <c r="M2837" s="126"/>
      <c r="N2837" s="127">
        <f t="shared" ref="N2837" si="50">SUM(I2837:L2837)</f>
        <v>0</v>
      </c>
    </row>
    <row r="2838" spans="1:14" x14ac:dyDescent="0.25">
      <c r="A2838" s="121" t="s">
        <v>103</v>
      </c>
      <c r="B2838" s="121" t="s">
        <v>104</v>
      </c>
      <c r="C2838" s="62">
        <f>VLOOKUP(B2838,合并仓明细!$D$2:$F$74,3,0)</f>
        <v>132</v>
      </c>
      <c r="D2838" s="122" t="s">
        <v>413</v>
      </c>
      <c r="E2838" s="123">
        <v>45980</v>
      </c>
      <c r="F2838" s="121" t="s">
        <v>67</v>
      </c>
      <c r="G2838" s="121">
        <v>1561.6204620000001</v>
      </c>
      <c r="H2838" s="124"/>
      <c r="I2838" s="125"/>
      <c r="J2838" s="125"/>
      <c r="K2838" s="125"/>
      <c r="L2838" s="121"/>
      <c r="M2838" s="126"/>
      <c r="N2838" s="121"/>
    </row>
    <row r="2839" spans="1:14" x14ac:dyDescent="0.25">
      <c r="A2839" s="121" t="s">
        <v>103</v>
      </c>
      <c r="B2839" s="121" t="s">
        <v>104</v>
      </c>
      <c r="C2839" s="62">
        <f>VLOOKUP(B2839,合并仓明细!$D$2:$F$74,3,0)</f>
        <v>132</v>
      </c>
      <c r="D2839" s="122" t="s">
        <v>413</v>
      </c>
      <c r="E2839" s="123">
        <v>45980</v>
      </c>
      <c r="F2839" s="121" t="s">
        <v>66</v>
      </c>
      <c r="G2839" s="121">
        <v>527.10416615999986</v>
      </c>
      <c r="H2839" s="124"/>
      <c r="I2839" s="125"/>
      <c r="J2839" s="125"/>
      <c r="K2839" s="125"/>
      <c r="L2839" s="121"/>
      <c r="M2839" s="126"/>
      <c r="N2839" s="121"/>
    </row>
    <row r="2840" spans="1:14" x14ac:dyDescent="0.25">
      <c r="A2840" s="121" t="s">
        <v>103</v>
      </c>
      <c r="B2840" s="121" t="s">
        <v>104</v>
      </c>
      <c r="C2840" s="62">
        <f>VLOOKUP(B2840,合并仓明细!$D$2:$F$74,3,0)</f>
        <v>132</v>
      </c>
      <c r="D2840" s="122" t="s">
        <v>413</v>
      </c>
      <c r="E2840" s="123">
        <v>45987</v>
      </c>
      <c r="F2840" s="121" t="s">
        <v>68</v>
      </c>
      <c r="G2840" s="121">
        <v>1564.8808799999997</v>
      </c>
      <c r="H2840" s="124">
        <v>5.0699042718099987</v>
      </c>
      <c r="I2840" s="46">
        <f>ROUNDUP(H2840/30,0)*VLOOKUP(D2840,'报价表-配送'!$B$47:$I$51,8,0)</f>
        <v>0</v>
      </c>
      <c r="J2840" s="125"/>
      <c r="K2840" s="125"/>
      <c r="L2840" s="121"/>
      <c r="M2840" s="126"/>
      <c r="N2840" s="127">
        <f t="shared" ref="N2840" si="51">SUM(I2840:L2840)</f>
        <v>0</v>
      </c>
    </row>
    <row r="2841" spans="1:14" x14ac:dyDescent="0.25">
      <c r="A2841" s="121" t="s">
        <v>103</v>
      </c>
      <c r="B2841" s="121" t="s">
        <v>104</v>
      </c>
      <c r="C2841" s="62">
        <f>VLOOKUP(B2841,合并仓明细!$D$2:$F$74,3,0)</f>
        <v>132</v>
      </c>
      <c r="D2841" s="122" t="s">
        <v>413</v>
      </c>
      <c r="E2841" s="123">
        <v>45987</v>
      </c>
      <c r="F2841" s="121" t="s">
        <v>67</v>
      </c>
      <c r="G2841" s="121">
        <v>1122.4450590000001</v>
      </c>
      <c r="H2841" s="124"/>
      <c r="I2841" s="125"/>
      <c r="J2841" s="125"/>
      <c r="K2841" s="125"/>
      <c r="L2841" s="121"/>
      <c r="M2841" s="126"/>
      <c r="N2841" s="121"/>
    </row>
    <row r="2842" spans="1:14" x14ac:dyDescent="0.25">
      <c r="A2842" s="121" t="s">
        <v>103</v>
      </c>
      <c r="B2842" s="121" t="s">
        <v>104</v>
      </c>
      <c r="C2842" s="62">
        <f>VLOOKUP(B2842,合并仓明细!$D$2:$F$74,3,0)</f>
        <v>132</v>
      </c>
      <c r="D2842" s="122" t="s">
        <v>413</v>
      </c>
      <c r="E2842" s="123">
        <v>45987</v>
      </c>
      <c r="F2842" s="121" t="s">
        <v>66</v>
      </c>
      <c r="G2842" s="121">
        <v>2382.5783328099988</v>
      </c>
      <c r="H2842" s="124"/>
      <c r="I2842" s="125"/>
      <c r="J2842" s="125"/>
      <c r="K2842" s="125"/>
      <c r="L2842" s="121"/>
      <c r="M2842" s="126"/>
      <c r="N2842" s="121"/>
    </row>
    <row r="2843" spans="1:14" x14ac:dyDescent="0.25">
      <c r="A2843" s="121" t="s">
        <v>103</v>
      </c>
      <c r="B2843" s="121" t="s">
        <v>104</v>
      </c>
      <c r="C2843" s="62">
        <f>VLOOKUP(B2843,合并仓明细!$D$2:$F$74,3,0)</f>
        <v>132</v>
      </c>
      <c r="D2843" s="122" t="s">
        <v>413</v>
      </c>
      <c r="E2843" s="123">
        <v>46001</v>
      </c>
      <c r="F2843" s="121" t="s">
        <v>68</v>
      </c>
      <c r="G2843" s="121">
        <v>3638.23</v>
      </c>
      <c r="H2843" s="124">
        <v>21.386602904000004</v>
      </c>
      <c r="I2843" s="46">
        <f>ROUNDUP(H2843/30,0)*VLOOKUP(D2843,'报价表-配送'!$B$47:$I$51,8,0)</f>
        <v>0</v>
      </c>
      <c r="J2843" s="125"/>
      <c r="K2843" s="125"/>
      <c r="L2843" s="121"/>
      <c r="M2843" s="126"/>
      <c r="N2843" s="127">
        <f t="shared" ref="N2843" si="52">SUM(I2843:L2843)</f>
        <v>0</v>
      </c>
    </row>
    <row r="2844" spans="1:14" x14ac:dyDescent="0.25">
      <c r="A2844" s="121" t="s">
        <v>103</v>
      </c>
      <c r="B2844" s="121" t="s">
        <v>104</v>
      </c>
      <c r="C2844" s="62">
        <f>VLOOKUP(B2844,合并仓明细!$D$2:$F$74,3,0)</f>
        <v>132</v>
      </c>
      <c r="D2844" s="122" t="s">
        <v>413</v>
      </c>
      <c r="E2844" s="123">
        <v>46001</v>
      </c>
      <c r="F2844" s="121" t="s">
        <v>67</v>
      </c>
      <c r="G2844" s="121">
        <v>14262.257904</v>
      </c>
      <c r="H2844" s="124"/>
      <c r="I2844" s="125"/>
      <c r="J2844" s="125"/>
      <c r="K2844" s="125"/>
      <c r="L2844" s="121"/>
      <c r="M2844" s="126"/>
      <c r="N2844" s="121"/>
    </row>
    <row r="2845" spans="1:14" x14ac:dyDescent="0.25">
      <c r="A2845" s="121" t="s">
        <v>103</v>
      </c>
      <c r="B2845" s="121" t="s">
        <v>104</v>
      </c>
      <c r="C2845" s="62">
        <f>VLOOKUP(B2845,合并仓明细!$D$2:$F$74,3,0)</f>
        <v>132</v>
      </c>
      <c r="D2845" s="122" t="s">
        <v>413</v>
      </c>
      <c r="E2845" s="123">
        <v>46001</v>
      </c>
      <c r="F2845" s="121" t="s">
        <v>66</v>
      </c>
      <c r="G2845" s="121">
        <v>3486.1150000000007</v>
      </c>
      <c r="H2845" s="124"/>
      <c r="I2845" s="125"/>
      <c r="J2845" s="125"/>
      <c r="K2845" s="125"/>
      <c r="L2845" s="121"/>
      <c r="M2845" s="126"/>
      <c r="N2845" s="121"/>
    </row>
    <row r="2846" spans="1:14" x14ac:dyDescent="0.25">
      <c r="A2846" s="121" t="s">
        <v>103</v>
      </c>
      <c r="B2846" s="121" t="s">
        <v>104</v>
      </c>
      <c r="C2846" s="62">
        <f>VLOOKUP(B2846,合并仓明细!$D$2:$F$74,3,0)</f>
        <v>132</v>
      </c>
      <c r="D2846" s="122" t="s">
        <v>413</v>
      </c>
      <c r="E2846" s="123">
        <v>46008</v>
      </c>
      <c r="F2846" s="121" t="s">
        <v>68</v>
      </c>
      <c r="G2846" s="121">
        <v>2116.91</v>
      </c>
      <c r="H2846" s="124">
        <v>5.1209100000000003</v>
      </c>
      <c r="I2846" s="46">
        <f>ROUNDUP(H2846/30,0)*VLOOKUP(D2846,'报价表-配送'!$B$47:$I$51,8,0)</f>
        <v>0</v>
      </c>
      <c r="J2846" s="125"/>
      <c r="K2846" s="125"/>
      <c r="L2846" s="121"/>
      <c r="M2846" s="126"/>
      <c r="N2846" s="127">
        <f t="shared" ref="N2846" si="53">SUM(I2846:L2846)</f>
        <v>0</v>
      </c>
    </row>
    <row r="2847" spans="1:14" x14ac:dyDescent="0.25">
      <c r="A2847" s="121" t="s">
        <v>103</v>
      </c>
      <c r="B2847" s="121" t="s">
        <v>104</v>
      </c>
      <c r="C2847" s="62">
        <f>VLOOKUP(B2847,合并仓明细!$D$2:$F$74,3,0)</f>
        <v>132</v>
      </c>
      <c r="D2847" s="122" t="s">
        <v>413</v>
      </c>
      <c r="E2847" s="123">
        <v>46008</v>
      </c>
      <c r="F2847" s="121" t="s">
        <v>67</v>
      </c>
      <c r="G2847" s="121">
        <v>1385.88</v>
      </c>
      <c r="H2847" s="124"/>
      <c r="I2847" s="125"/>
      <c r="J2847" s="125"/>
      <c r="K2847" s="125"/>
      <c r="L2847" s="121"/>
      <c r="M2847" s="126"/>
      <c r="N2847" s="121"/>
    </row>
    <row r="2848" spans="1:14" x14ac:dyDescent="0.25">
      <c r="A2848" s="121" t="s">
        <v>103</v>
      </c>
      <c r="B2848" s="121" t="s">
        <v>104</v>
      </c>
      <c r="C2848" s="62">
        <f>VLOOKUP(B2848,合并仓明细!$D$2:$F$74,3,0)</f>
        <v>132</v>
      </c>
      <c r="D2848" s="122" t="s">
        <v>413</v>
      </c>
      <c r="E2848" s="123">
        <v>46008</v>
      </c>
      <c r="F2848" s="121" t="s">
        <v>66</v>
      </c>
      <c r="G2848" s="121">
        <v>1618.1200000000001</v>
      </c>
      <c r="H2848" s="124"/>
      <c r="I2848" s="125"/>
      <c r="J2848" s="125"/>
      <c r="K2848" s="125"/>
      <c r="L2848" s="121"/>
      <c r="M2848" s="126"/>
      <c r="N2848" s="121"/>
    </row>
    <row r="2849" spans="1:14" x14ac:dyDescent="0.25">
      <c r="A2849" s="121" t="s">
        <v>103</v>
      </c>
      <c r="B2849" s="121" t="s">
        <v>104</v>
      </c>
      <c r="C2849" s="62">
        <f>VLOOKUP(B2849,合并仓明细!$D$2:$F$74,3,0)</f>
        <v>132</v>
      </c>
      <c r="D2849" s="122" t="s">
        <v>413</v>
      </c>
      <c r="E2849" s="123">
        <v>46015</v>
      </c>
      <c r="F2849" s="121" t="s">
        <v>67</v>
      </c>
      <c r="G2849" s="121">
        <v>1065.4499999999998</v>
      </c>
      <c r="H2849" s="124">
        <v>1.7384499999999998</v>
      </c>
      <c r="I2849" s="38">
        <f>IF(H2849&gt;30,QUOTIENT(H2849,30)*VLOOKUP(D2849,'报价表-配送'!$B$47:$I$51,8,0),0)+IF(AND(MOD(H2849,30)&gt;18,MOD(H2849,30)&lt;=30),1,0)*VLOOKUP(D2849,'报价表-配送'!$B$47:$I$51,8,0)</f>
        <v>0</v>
      </c>
      <c r="J2849" s="38">
        <f>IF(AND(MOD(H2849,30)&gt;8,MOD(H2849,30)&lt;=18),1*VLOOKUP(D2849,'报价表-配送'!$B$47:$I$51,7,0),0)</f>
        <v>0</v>
      </c>
      <c r="K2849" s="38">
        <f>IF(AND(MOD(H2849,30)&lt;=8,MOD(H2849,30)&gt;0),1,0)*VLOOKUP(D2849,'报价表-配送'!$B$47:$I$51,6,0)</f>
        <v>0</v>
      </c>
      <c r="L2849" s="121"/>
      <c r="M2849" s="126"/>
      <c r="N2849" s="127">
        <f t="shared" ref="N2849" si="54">SUM(I2849:L2849)</f>
        <v>0</v>
      </c>
    </row>
    <row r="2850" spans="1:14" x14ac:dyDescent="0.25">
      <c r="A2850" s="121" t="s">
        <v>103</v>
      </c>
      <c r="B2850" s="121" t="s">
        <v>104</v>
      </c>
      <c r="C2850" s="62">
        <f>VLOOKUP(B2850,合并仓明细!$D$2:$F$74,3,0)</f>
        <v>132</v>
      </c>
      <c r="D2850" s="122" t="s">
        <v>413</v>
      </c>
      <c r="E2850" s="123">
        <v>46015</v>
      </c>
      <c r="F2850" s="121" t="s">
        <v>66</v>
      </c>
      <c r="G2850" s="121">
        <v>672.99999999999989</v>
      </c>
      <c r="H2850" s="124"/>
      <c r="I2850" s="125"/>
      <c r="J2850" s="125"/>
      <c r="K2850" s="125"/>
      <c r="L2850" s="121"/>
      <c r="M2850" s="126"/>
      <c r="N2850" s="121"/>
    </row>
    <row r="2851" spans="1:14" x14ac:dyDescent="0.25">
      <c r="A2851" s="121" t="s">
        <v>103</v>
      </c>
      <c r="B2851" s="121" t="s">
        <v>104</v>
      </c>
      <c r="C2851" s="62">
        <f>VLOOKUP(B2851,合并仓明细!$D$2:$F$74,3,0)</f>
        <v>132</v>
      </c>
      <c r="D2851" s="122" t="s">
        <v>413</v>
      </c>
      <c r="E2851" s="123">
        <v>46029</v>
      </c>
      <c r="F2851" s="121" t="s">
        <v>68</v>
      </c>
      <c r="G2851" s="121">
        <v>1012.8265199999998</v>
      </c>
      <c r="H2851" s="124">
        <v>5.4651183969399986</v>
      </c>
      <c r="I2851" s="46">
        <f>ROUNDUP(H2851/30,0)*VLOOKUP(D2851,'报价表-配送'!$B$47:$I$51,8,0)</f>
        <v>0</v>
      </c>
      <c r="J2851" s="125"/>
      <c r="K2851" s="125"/>
      <c r="L2851" s="121"/>
      <c r="M2851" s="126"/>
      <c r="N2851" s="127">
        <f t="shared" ref="N2851" si="55">SUM(I2851:L2851)</f>
        <v>0</v>
      </c>
    </row>
    <row r="2852" spans="1:14" x14ac:dyDescent="0.25">
      <c r="A2852" s="121" t="s">
        <v>103</v>
      </c>
      <c r="B2852" s="121" t="s">
        <v>104</v>
      </c>
      <c r="C2852" s="62">
        <f>VLOOKUP(B2852,合并仓明细!$D$2:$F$74,3,0)</f>
        <v>132</v>
      </c>
      <c r="D2852" s="122" t="s">
        <v>413</v>
      </c>
      <c r="E2852" s="123">
        <v>46029</v>
      </c>
      <c r="F2852" s="121" t="s">
        <v>67</v>
      </c>
      <c r="G2852" s="121">
        <v>3267.8381279999994</v>
      </c>
      <c r="H2852" s="124"/>
      <c r="I2852" s="125"/>
      <c r="J2852" s="125"/>
      <c r="K2852" s="125"/>
      <c r="L2852" s="121"/>
      <c r="M2852" s="126"/>
      <c r="N2852" s="121"/>
    </row>
    <row r="2853" spans="1:14" x14ac:dyDescent="0.25">
      <c r="A2853" s="121" t="s">
        <v>103</v>
      </c>
      <c r="B2853" s="121" t="s">
        <v>104</v>
      </c>
      <c r="C2853" s="62">
        <f>VLOOKUP(B2853,合并仓明细!$D$2:$F$74,3,0)</f>
        <v>132</v>
      </c>
      <c r="D2853" s="122" t="s">
        <v>413</v>
      </c>
      <c r="E2853" s="123">
        <v>46029</v>
      </c>
      <c r="F2853" s="121" t="s">
        <v>66</v>
      </c>
      <c r="G2853" s="121">
        <v>1184.4537489399995</v>
      </c>
      <c r="H2853" s="124"/>
      <c r="I2853" s="125"/>
      <c r="J2853" s="125"/>
      <c r="K2853" s="125"/>
      <c r="L2853" s="121"/>
      <c r="M2853" s="126"/>
      <c r="N2853" s="121"/>
    </row>
    <row r="2854" spans="1:14" x14ac:dyDescent="0.25">
      <c r="A2854" s="121" t="s">
        <v>103</v>
      </c>
      <c r="B2854" s="121" t="s">
        <v>104</v>
      </c>
      <c r="C2854" s="62">
        <f>VLOOKUP(B2854,合并仓明细!$D$2:$F$74,3,0)</f>
        <v>132</v>
      </c>
      <c r="D2854" s="122" t="s">
        <v>413</v>
      </c>
      <c r="E2854" s="123">
        <v>46036</v>
      </c>
      <c r="F2854" s="121" t="s">
        <v>68</v>
      </c>
      <c r="G2854" s="121">
        <v>1123.8902399999999</v>
      </c>
      <c r="H2854" s="124">
        <v>3.4603237936999998</v>
      </c>
      <c r="I2854" s="46">
        <f>ROUNDUP(H2854/30,0)*VLOOKUP(D2854,'报价表-配送'!$B$47:$I$51,8,0)</f>
        <v>0</v>
      </c>
      <c r="J2854" s="125"/>
      <c r="K2854" s="125"/>
      <c r="L2854" s="121"/>
      <c r="M2854" s="126"/>
      <c r="N2854" s="127">
        <f t="shared" ref="N2854" si="56">SUM(I2854:L2854)</f>
        <v>0</v>
      </c>
    </row>
    <row r="2855" spans="1:14" x14ac:dyDescent="0.25">
      <c r="A2855" s="121" t="s">
        <v>103</v>
      </c>
      <c r="B2855" s="121" t="s">
        <v>104</v>
      </c>
      <c r="C2855" s="62">
        <f>VLOOKUP(B2855,合并仓明细!$D$2:$F$74,3,0)</f>
        <v>132</v>
      </c>
      <c r="D2855" s="122" t="s">
        <v>413</v>
      </c>
      <c r="E2855" s="123">
        <v>46036</v>
      </c>
      <c r="F2855" s="121" t="s">
        <v>67</v>
      </c>
      <c r="G2855" s="121">
        <v>782.15105399999993</v>
      </c>
      <c r="H2855" s="124"/>
      <c r="I2855" s="125"/>
      <c r="J2855" s="125"/>
      <c r="K2855" s="125"/>
      <c r="L2855" s="121"/>
      <c r="M2855" s="126"/>
      <c r="N2855" s="121"/>
    </row>
    <row r="2856" spans="1:14" x14ac:dyDescent="0.25">
      <c r="A2856" s="121" t="s">
        <v>103</v>
      </c>
      <c r="B2856" s="121" t="s">
        <v>104</v>
      </c>
      <c r="C2856" s="62">
        <f>VLOOKUP(B2856,合并仓明细!$D$2:$F$74,3,0)</f>
        <v>132</v>
      </c>
      <c r="D2856" s="122" t="s">
        <v>413</v>
      </c>
      <c r="E2856" s="123">
        <v>46036</v>
      </c>
      <c r="F2856" s="121" t="s">
        <v>66</v>
      </c>
      <c r="G2856" s="121">
        <v>1554.2824997</v>
      </c>
      <c r="H2856" s="124"/>
      <c r="I2856" s="125"/>
      <c r="J2856" s="125"/>
      <c r="K2856" s="125"/>
      <c r="L2856" s="121"/>
      <c r="M2856" s="126"/>
      <c r="N2856" s="121"/>
    </row>
    <row r="2857" spans="1:14" x14ac:dyDescent="0.25">
      <c r="A2857" s="121" t="s">
        <v>103</v>
      </c>
      <c r="B2857" s="121" t="s">
        <v>104</v>
      </c>
      <c r="C2857" s="62">
        <f>VLOOKUP(B2857,合并仓明细!$D$2:$F$74,3,0)</f>
        <v>132</v>
      </c>
      <c r="D2857" s="122" t="s">
        <v>413</v>
      </c>
      <c r="E2857" s="123">
        <v>46043</v>
      </c>
      <c r="F2857" s="121" t="s">
        <v>68</v>
      </c>
      <c r="G2857" s="121">
        <v>4106.4663399999999</v>
      </c>
      <c r="H2857" s="124">
        <v>12.756904307399999</v>
      </c>
      <c r="I2857" s="46">
        <f>ROUNDUP(H2857/30,0)*VLOOKUP(D2857,'报价表-配送'!$B$47:$I$51,8,0)</f>
        <v>0</v>
      </c>
      <c r="J2857" s="125"/>
      <c r="K2857" s="125"/>
      <c r="L2857" s="121"/>
      <c r="M2857" s="126"/>
      <c r="N2857" s="127">
        <f t="shared" ref="N2857" si="57">SUM(I2857:L2857)</f>
        <v>0</v>
      </c>
    </row>
    <row r="2858" spans="1:14" x14ac:dyDescent="0.25">
      <c r="A2858" s="121" t="s">
        <v>103</v>
      </c>
      <c r="B2858" s="121" t="s">
        <v>104</v>
      </c>
      <c r="C2858" s="62">
        <f>VLOOKUP(B2858,合并仓明细!$D$2:$F$74,3,0)</f>
        <v>132</v>
      </c>
      <c r="D2858" s="122" t="s">
        <v>413</v>
      </c>
      <c r="E2858" s="123">
        <v>46043</v>
      </c>
      <c r="F2858" s="121" t="s">
        <v>67</v>
      </c>
      <c r="G2858" s="121">
        <v>4283.7906359999997</v>
      </c>
      <c r="H2858" s="124"/>
      <c r="I2858" s="125"/>
      <c r="J2858" s="125"/>
      <c r="K2858" s="125"/>
      <c r="L2858" s="121"/>
      <c r="M2858" s="126"/>
      <c r="N2858" s="121"/>
    </row>
    <row r="2859" spans="1:14" x14ac:dyDescent="0.25">
      <c r="A2859" s="121" t="s">
        <v>103</v>
      </c>
      <c r="B2859" s="121" t="s">
        <v>104</v>
      </c>
      <c r="C2859" s="62">
        <f>VLOOKUP(B2859,合并仓明细!$D$2:$F$74,3,0)</f>
        <v>132</v>
      </c>
      <c r="D2859" s="122" t="s">
        <v>413</v>
      </c>
      <c r="E2859" s="123">
        <v>46043</v>
      </c>
      <c r="F2859" s="121" t="s">
        <v>66</v>
      </c>
      <c r="G2859" s="121">
        <v>4366.6473314000004</v>
      </c>
      <c r="H2859" s="124"/>
      <c r="I2859" s="125"/>
      <c r="J2859" s="125"/>
      <c r="K2859" s="125"/>
      <c r="L2859" s="121"/>
      <c r="M2859" s="126"/>
      <c r="N2859" s="121"/>
    </row>
    <row r="2860" spans="1:14" x14ac:dyDescent="0.25">
      <c r="A2860" s="121" t="s">
        <v>103</v>
      </c>
      <c r="B2860" s="121" t="s">
        <v>104</v>
      </c>
      <c r="C2860" s="62">
        <f>VLOOKUP(B2860,合并仓明细!$D$2:$F$74,3,0)</f>
        <v>132</v>
      </c>
      <c r="D2860" s="122" t="s">
        <v>413</v>
      </c>
      <c r="E2860" s="123">
        <v>46050</v>
      </c>
      <c r="F2860" s="121" t="s">
        <v>66</v>
      </c>
      <c r="G2860" s="121">
        <v>348.63666667999996</v>
      </c>
      <c r="H2860" s="124">
        <v>0.34863666667999998</v>
      </c>
      <c r="I2860" s="125"/>
      <c r="J2860" s="125"/>
      <c r="K2860" s="125"/>
      <c r="L2860" s="37">
        <f>IF(H2860&gt;30,QUOTIENT(H2860,30)*VLOOKUP(D2860,'报价表-配送'!$B$47:$I$51,8,0),0)+IF(AND(MOD(H2860,30)&gt;18,MOD(H2860,30)&lt;=30),1,0)*VLOOKUP(D2860,'报价表-配送'!$B$47:$I$51,8,0)+IF(AND(MOD(H2860,30)&gt;8,MOD(H2860,30)&lt;=18),1*VLOOKUP(D2860,'报价表-配送'!$B$47:$I$51,7,0),0)+IF(AND(MOD(H2860,30)&lt;=8,MOD(H2860,30)&gt;2.5),1,0)*VLOOKUP(D2860,'报价表-配送'!$B$47:$I$51,6,0)+IF(AND(MOD(H2860,30)&lt;=2.5,MOD(H2860,30)&gt;=1.5),1,0)*VLOOKUP(D2860,'报价表-配送'!$B$47:$I$51,5,0)</f>
        <v>0</v>
      </c>
      <c r="M2860" s="39">
        <f>IF(AND(MOD(H2860,30)&lt;1.5,MOD(H2860,30)&gt;=0.5),H2860,0)*VLOOKUP(D2860,'报价表-配送'!$B$47:$I$51,4,0)*1000+IF(AND(MOD(H2860,30)&lt;0.5,MOD(H2860,30)&gt;=0.02),H2860,0)*VLOOKUP(D2860,'报价表-配送'!$B$47:$I$51,3,0)*1000+IF(AND(MOD(H2860,30)&lt;0.02),H2860,0)*VLOOKUP(D2860,'报价表-配送'!$B$47:$I$51,2,0)*1000</f>
        <v>0</v>
      </c>
      <c r="N2860" s="127">
        <f t="shared" ref="N2860:N2861" si="58">SUM(I2860:L2860)</f>
        <v>0</v>
      </c>
    </row>
    <row r="2861" spans="1:14" x14ac:dyDescent="0.25">
      <c r="A2861" s="121" t="s">
        <v>103</v>
      </c>
      <c r="B2861" s="121" t="s">
        <v>104</v>
      </c>
      <c r="C2861" s="62">
        <f>VLOOKUP(B2861,合并仓明细!$D$2:$F$74,3,0)</f>
        <v>132</v>
      </c>
      <c r="D2861" s="122" t="s">
        <v>413</v>
      </c>
      <c r="E2861" s="123">
        <v>46057</v>
      </c>
      <c r="F2861" s="121" t="s">
        <v>68</v>
      </c>
      <c r="G2861" s="121">
        <v>2586.4075199999997</v>
      </c>
      <c r="H2861" s="124">
        <v>5.3765348920099987</v>
      </c>
      <c r="I2861" s="46">
        <f>ROUNDUP(H2861/30,0)*VLOOKUP(D2861,'报价表-配送'!$B$47:$I$51,8,0)</f>
        <v>0</v>
      </c>
      <c r="J2861" s="125"/>
      <c r="K2861" s="125"/>
      <c r="L2861" s="121"/>
      <c r="M2861" s="126"/>
      <c r="N2861" s="127">
        <f t="shared" si="58"/>
        <v>0</v>
      </c>
    </row>
    <row r="2862" spans="1:14" x14ac:dyDescent="0.25">
      <c r="A2862" s="121" t="s">
        <v>103</v>
      </c>
      <c r="B2862" s="121" t="s">
        <v>104</v>
      </c>
      <c r="C2862" s="62">
        <f>VLOOKUP(B2862,合并仓明细!$D$2:$F$74,3,0)</f>
        <v>132</v>
      </c>
      <c r="D2862" s="122" t="s">
        <v>413</v>
      </c>
      <c r="E2862" s="123">
        <v>46057</v>
      </c>
      <c r="F2862" s="121" t="s">
        <v>67</v>
      </c>
      <c r="G2862" s="121">
        <v>654.417372</v>
      </c>
      <c r="H2862" s="124"/>
      <c r="I2862" s="125"/>
      <c r="J2862" s="125"/>
      <c r="K2862" s="125"/>
      <c r="L2862" s="121"/>
      <c r="M2862" s="126"/>
      <c r="N2862" s="121"/>
    </row>
    <row r="2863" spans="1:14" x14ac:dyDescent="0.25">
      <c r="A2863" s="121" t="s">
        <v>103</v>
      </c>
      <c r="B2863" s="121" t="s">
        <v>104</v>
      </c>
      <c r="C2863" s="62">
        <f>VLOOKUP(B2863,合并仓明细!$D$2:$F$74,3,0)</f>
        <v>132</v>
      </c>
      <c r="D2863" s="122" t="s">
        <v>413</v>
      </c>
      <c r="E2863" s="123">
        <v>46057</v>
      </c>
      <c r="F2863" s="121" t="s">
        <v>66</v>
      </c>
      <c r="G2863" s="121">
        <v>2135.7100000099995</v>
      </c>
      <c r="H2863" s="124"/>
      <c r="I2863" s="125"/>
      <c r="J2863" s="125"/>
      <c r="K2863" s="125"/>
      <c r="L2863" s="121"/>
      <c r="M2863" s="126"/>
      <c r="N2863" s="121"/>
    </row>
    <row r="2864" spans="1:14" x14ac:dyDescent="0.25">
      <c r="A2864" s="121" t="s">
        <v>103</v>
      </c>
      <c r="B2864" s="121" t="s">
        <v>104</v>
      </c>
      <c r="C2864" s="62">
        <f>VLOOKUP(B2864,合并仓明细!$D$2:$F$74,3,0)</f>
        <v>132</v>
      </c>
      <c r="D2864" s="122" t="s">
        <v>413</v>
      </c>
      <c r="E2864" s="123">
        <v>46090</v>
      </c>
      <c r="F2864" s="121" t="s">
        <v>66</v>
      </c>
      <c r="G2864" s="121">
        <v>1398.2087485000002</v>
      </c>
      <c r="H2864" s="124">
        <v>1.3982087485000001</v>
      </c>
      <c r="I2864" s="125"/>
      <c r="J2864" s="125"/>
      <c r="K2864" s="125"/>
      <c r="L2864" s="37">
        <f>IF(H2864&gt;30,QUOTIENT(H2864,30)*VLOOKUP(D2864,'报价表-配送'!$B$47:$I$51,8,0),0)+IF(AND(MOD(H2864,30)&gt;18,MOD(H2864,30)&lt;=30),1,0)*VLOOKUP(D2864,'报价表-配送'!$B$47:$I$51,8,0)+IF(AND(MOD(H2864,30)&gt;8,MOD(H2864,30)&lt;=18),1*VLOOKUP(D2864,'报价表-配送'!$B$47:$I$51,7,0),0)+IF(AND(MOD(H2864,30)&lt;=8,MOD(H2864,30)&gt;2.5),1,0)*VLOOKUP(D2864,'报价表-配送'!$B$47:$I$51,6,0)+IF(AND(MOD(H2864,30)&lt;=2.5,MOD(H2864,30)&gt;=1.5),1,0)*VLOOKUP(D2864,'报价表-配送'!$B$47:$I$51,5,0)</f>
        <v>0</v>
      </c>
      <c r="M2864" s="39">
        <f>IF(AND(MOD(H2864,30)&lt;1.5,MOD(H2864,30)&gt;=0.5),H2864,0)*VLOOKUP(D2864,'报价表-配送'!$B$47:$I$51,4,0)*1000+IF(AND(MOD(H2864,30)&lt;0.5,MOD(H2864,30)&gt;=0.02),H2864,0)*VLOOKUP(D2864,'报价表-配送'!$B$47:$I$51,3,0)*1000+IF(AND(MOD(H2864,30)&lt;0.02),H2864,0)*VLOOKUP(D2864,'报价表-配送'!$B$47:$I$51,2,0)*1000</f>
        <v>0</v>
      </c>
      <c r="N2864" s="127">
        <f t="shared" ref="N2864:N2865" si="59">SUM(I2864:L2864)</f>
        <v>0</v>
      </c>
    </row>
    <row r="2865" spans="1:14" x14ac:dyDescent="0.25">
      <c r="A2865" s="121" t="s">
        <v>103</v>
      </c>
      <c r="B2865" s="121" t="s">
        <v>104</v>
      </c>
      <c r="C2865" s="62">
        <f>VLOOKUP(B2865,合并仓明细!$D$2:$F$74,3,0)</f>
        <v>132</v>
      </c>
      <c r="D2865" s="122" t="s">
        <v>413</v>
      </c>
      <c r="E2865" s="123">
        <v>46098</v>
      </c>
      <c r="F2865" s="121" t="s">
        <v>68</v>
      </c>
      <c r="G2865" s="121">
        <v>1258.56396</v>
      </c>
      <c r="H2865" s="124">
        <v>11.107020931819999</v>
      </c>
      <c r="I2865" s="46">
        <f>ROUNDUP(H2865/30,0)*VLOOKUP(D2865,'报价表-配送'!$B$47:$I$51,8,0)</f>
        <v>0</v>
      </c>
      <c r="J2865" s="125"/>
      <c r="K2865" s="125"/>
      <c r="L2865" s="121"/>
      <c r="M2865" s="126"/>
      <c r="N2865" s="127">
        <f t="shared" si="59"/>
        <v>0</v>
      </c>
    </row>
    <row r="2866" spans="1:14" x14ac:dyDescent="0.25">
      <c r="A2866" s="121" t="s">
        <v>103</v>
      </c>
      <c r="B2866" s="121" t="s">
        <v>104</v>
      </c>
      <c r="C2866" s="62">
        <f>VLOOKUP(B2866,合并仓明细!$D$2:$F$74,3,0)</f>
        <v>132</v>
      </c>
      <c r="D2866" s="122" t="s">
        <v>413</v>
      </c>
      <c r="E2866" s="123">
        <v>46098</v>
      </c>
      <c r="F2866" s="121" t="s">
        <v>67</v>
      </c>
      <c r="G2866" s="121">
        <v>4490.8269719999998</v>
      </c>
      <c r="H2866" s="124"/>
      <c r="I2866" s="125"/>
      <c r="J2866" s="125"/>
      <c r="K2866" s="125"/>
      <c r="L2866" s="121"/>
      <c r="M2866" s="126"/>
      <c r="N2866" s="121"/>
    </row>
    <row r="2867" spans="1:14" x14ac:dyDescent="0.25">
      <c r="A2867" s="121" t="s">
        <v>103</v>
      </c>
      <c r="B2867" s="121" t="s">
        <v>104</v>
      </c>
      <c r="C2867" s="62">
        <f>VLOOKUP(B2867,合并仓明细!$D$2:$F$74,3,0)</f>
        <v>132</v>
      </c>
      <c r="D2867" s="122" t="s">
        <v>413</v>
      </c>
      <c r="E2867" s="123">
        <v>46098</v>
      </c>
      <c r="F2867" s="121" t="s">
        <v>66</v>
      </c>
      <c r="G2867" s="121">
        <v>5357.6299998200002</v>
      </c>
      <c r="H2867" s="124"/>
      <c r="I2867" s="125"/>
      <c r="J2867" s="125"/>
      <c r="K2867" s="125"/>
      <c r="L2867" s="121"/>
      <c r="M2867" s="126"/>
      <c r="N2867" s="121"/>
    </row>
    <row r="2868" spans="1:14" x14ac:dyDescent="0.25">
      <c r="A2868" s="121" t="s">
        <v>103</v>
      </c>
      <c r="B2868" s="121" t="s">
        <v>104</v>
      </c>
      <c r="C2868" s="62">
        <f>VLOOKUP(B2868,合并仓明细!$D$2:$F$74,3,0)</f>
        <v>132</v>
      </c>
      <c r="D2868" s="122" t="s">
        <v>413</v>
      </c>
      <c r="E2868" s="123">
        <v>46105</v>
      </c>
      <c r="F2868" s="121" t="s">
        <v>68</v>
      </c>
      <c r="G2868" s="121">
        <v>1031.55864</v>
      </c>
      <c r="H2868" s="124">
        <v>1.8356778719999998</v>
      </c>
      <c r="I2868" s="46">
        <f>ROUNDUP(H2868/30,0)*VLOOKUP(D2868,'报价表-配送'!$B$47:$I$51,8,0)</f>
        <v>0</v>
      </c>
      <c r="J2868" s="125"/>
      <c r="K2868" s="125"/>
      <c r="L2868" s="121"/>
      <c r="M2868" s="126"/>
      <c r="N2868" s="127">
        <f t="shared" ref="N2868" si="60">SUM(I2868:L2868)</f>
        <v>0</v>
      </c>
    </row>
    <row r="2869" spans="1:14" x14ac:dyDescent="0.25">
      <c r="A2869" s="121" t="s">
        <v>103</v>
      </c>
      <c r="B2869" s="121" t="s">
        <v>104</v>
      </c>
      <c r="C2869" s="62">
        <f>VLOOKUP(B2869,合并仓明细!$D$2:$F$74,3,0)</f>
        <v>132</v>
      </c>
      <c r="D2869" s="122" t="s">
        <v>413</v>
      </c>
      <c r="E2869" s="123">
        <v>46105</v>
      </c>
      <c r="F2869" s="121" t="s">
        <v>67</v>
      </c>
      <c r="G2869" s="121">
        <v>320.97298199999994</v>
      </c>
      <c r="H2869" s="124"/>
      <c r="I2869" s="125"/>
      <c r="J2869" s="125"/>
      <c r="K2869" s="125"/>
      <c r="L2869" s="121"/>
      <c r="M2869" s="126"/>
      <c r="N2869" s="121"/>
    </row>
    <row r="2870" spans="1:14" x14ac:dyDescent="0.25">
      <c r="A2870" s="121" t="s">
        <v>103</v>
      </c>
      <c r="B2870" s="121" t="s">
        <v>104</v>
      </c>
      <c r="C2870" s="62">
        <f>VLOOKUP(B2870,合并仓明细!$D$2:$F$74,3,0)</f>
        <v>132</v>
      </c>
      <c r="D2870" s="122" t="s">
        <v>413</v>
      </c>
      <c r="E2870" s="123">
        <v>46105</v>
      </c>
      <c r="F2870" s="121" t="s">
        <v>66</v>
      </c>
      <c r="G2870" s="121">
        <v>483.14624999999984</v>
      </c>
      <c r="H2870" s="124"/>
      <c r="I2870" s="125"/>
      <c r="J2870" s="125"/>
      <c r="K2870" s="125"/>
      <c r="L2870" s="121"/>
      <c r="M2870" s="126"/>
      <c r="N2870" s="121"/>
    </row>
    <row r="2871" spans="1:14" x14ac:dyDescent="0.25">
      <c r="A2871" s="121" t="s">
        <v>111</v>
      </c>
      <c r="B2871" s="121" t="s">
        <v>543</v>
      </c>
      <c r="C2871" s="62">
        <f>VLOOKUP(B2871,合并仓明细!$D$2:$F$74,3,0)</f>
        <v>101</v>
      </c>
      <c r="D2871" s="122" t="s">
        <v>413</v>
      </c>
      <c r="E2871" s="123">
        <v>45952</v>
      </c>
      <c r="F2871" s="121" t="s">
        <v>67</v>
      </c>
      <c r="G2871" s="121">
        <v>3742.5275999999999</v>
      </c>
      <c r="H2871" s="124">
        <v>3.7425275999999998</v>
      </c>
      <c r="I2871" s="38">
        <f>IF(H2871&gt;30,QUOTIENT(H2871,30)*VLOOKUP(D2871,'报价表-配送'!$B$84:$I$88,8,0),0)+IF(AND(MOD(H2871,30)&gt;18,MOD(H2871,30)&lt;=30),1,0)*VLOOKUP(D2871,'报价表-配送'!$B$84:$I$88,8,0)</f>
        <v>0</v>
      </c>
      <c r="J2871" s="38">
        <f>IF(AND(MOD(H2871,30)&gt;8,MOD(H2871,30)&lt;=18),1*VLOOKUP(D2871,'报价表-配送'!$B$84:$I$88,7,0),0)</f>
        <v>0</v>
      </c>
      <c r="K2871" s="38">
        <f>IF(AND(MOD(H2871,30)&lt;=8,MOD(H2871,30)&gt;0),1,0)*VLOOKUP(D2871,'报价表-配送'!$B$84:$I$88,6,0)</f>
        <v>0</v>
      </c>
      <c r="L2871" s="121"/>
      <c r="M2871" s="126"/>
      <c r="N2871" s="127">
        <f t="shared" ref="N2871:N2872" si="61">SUM(I2871:L2871)</f>
        <v>0</v>
      </c>
    </row>
    <row r="2872" spans="1:14" x14ac:dyDescent="0.25">
      <c r="A2872" s="121" t="s">
        <v>111</v>
      </c>
      <c r="B2872" s="121" t="s">
        <v>543</v>
      </c>
      <c r="C2872" s="62">
        <f>VLOOKUP(B2872,合并仓明细!$D$2:$F$74,3,0)</f>
        <v>101</v>
      </c>
      <c r="D2872" s="122" t="s">
        <v>413</v>
      </c>
      <c r="E2872" s="123">
        <v>46049</v>
      </c>
      <c r="F2872" s="121" t="s">
        <v>67</v>
      </c>
      <c r="G2872" s="121">
        <v>807.05700000000002</v>
      </c>
      <c r="H2872" s="124">
        <v>1.0413726666299998</v>
      </c>
      <c r="I2872" s="38">
        <f>IF(H2872&gt;30,QUOTIENT(H2872,30)*VLOOKUP(D2872,'报价表-配送'!$B$84:$I$88,8,0),0)+IF(AND(MOD(H2872,30)&gt;18,MOD(H2872,30)&lt;=30),1,0)*VLOOKUP(D2872,'报价表-配送'!$B$84:$I$88,8,0)</f>
        <v>0</v>
      </c>
      <c r="J2872" s="38">
        <f>IF(AND(MOD(H2872,30)&gt;8,MOD(H2872,30)&lt;=18),1*VLOOKUP(D2872,'报价表-配送'!$B$84:$I$88,7,0),0)</f>
        <v>0</v>
      </c>
      <c r="K2872" s="38">
        <f>IF(AND(MOD(H2872,30)&lt;=8,MOD(H2872,30)&gt;0),1,0)*VLOOKUP(D2872,'报价表-配送'!$B$84:$I$88,6,0)</f>
        <v>0</v>
      </c>
      <c r="L2872" s="121"/>
      <c r="M2872" s="126"/>
      <c r="N2872" s="127">
        <f t="shared" si="61"/>
        <v>0</v>
      </c>
    </row>
    <row r="2873" spans="1:14" x14ac:dyDescent="0.25">
      <c r="A2873" s="121" t="s">
        <v>111</v>
      </c>
      <c r="B2873" s="121" t="s">
        <v>543</v>
      </c>
      <c r="C2873" s="62">
        <f>VLOOKUP(B2873,合并仓明细!$D$2:$F$74,3,0)</f>
        <v>101</v>
      </c>
      <c r="D2873" s="122" t="s">
        <v>413</v>
      </c>
      <c r="E2873" s="123">
        <v>46049</v>
      </c>
      <c r="F2873" s="121" t="s">
        <v>66</v>
      </c>
      <c r="G2873" s="121">
        <v>234.31566663000001</v>
      </c>
      <c r="H2873" s="124"/>
      <c r="I2873" s="125"/>
      <c r="J2873" s="125"/>
      <c r="K2873" s="125"/>
      <c r="L2873" s="121"/>
      <c r="M2873" s="126"/>
      <c r="N2873" s="121"/>
    </row>
    <row r="2874" spans="1:14" x14ac:dyDescent="0.25">
      <c r="A2874" s="121" t="s">
        <v>111</v>
      </c>
      <c r="B2874" s="121" t="s">
        <v>112</v>
      </c>
      <c r="C2874" s="62">
        <f>VLOOKUP(B2874,合并仓明细!$D$2:$F$74,3,0)</f>
        <v>369</v>
      </c>
      <c r="D2874" s="122" t="s">
        <v>410</v>
      </c>
      <c r="E2874" s="123">
        <v>45952</v>
      </c>
      <c r="F2874" s="121" t="s">
        <v>67</v>
      </c>
      <c r="G2874" s="121">
        <v>4062.9936240000002</v>
      </c>
      <c r="H2874" s="124">
        <v>4.0629936239999997</v>
      </c>
      <c r="I2874" s="38">
        <f>IF(H2874&gt;30,QUOTIENT(H2874,30)*VLOOKUP(D2874,'报价表-配送'!$B$84:$I$88,8,0),0)+IF(AND(MOD(H2874,30)&gt;18,MOD(H2874,30)&lt;=30),1,0)*VLOOKUP(D2874,'报价表-配送'!$B$84:$I$88,8,0)</f>
        <v>0</v>
      </c>
      <c r="J2874" s="38">
        <f>IF(AND(MOD(H2874,30)&gt;8,MOD(H2874,30)&lt;=18),1*VLOOKUP(D2874,'报价表-配送'!$B$84:$I$88,7,0),0)</f>
        <v>0</v>
      </c>
      <c r="K2874" s="38">
        <f>IF(AND(MOD(H2874,30)&lt;=8,MOD(H2874,30)&gt;0),1,0)*VLOOKUP(D2874,'报价表-配送'!$B$84:$I$88,6,0)</f>
        <v>0</v>
      </c>
      <c r="L2874" s="121"/>
      <c r="M2874" s="126"/>
      <c r="N2874" s="127">
        <f t="shared" ref="N2874:N2876" si="62">SUM(I2874:L2874)</f>
        <v>0</v>
      </c>
    </row>
    <row r="2875" spans="1:14" x14ac:dyDescent="0.25">
      <c r="A2875" s="121" t="s">
        <v>111</v>
      </c>
      <c r="B2875" s="121" t="s">
        <v>112</v>
      </c>
      <c r="C2875" s="62">
        <f>VLOOKUP(B2875,合并仓明细!$D$2:$F$74,3,0)</f>
        <v>369</v>
      </c>
      <c r="D2875" s="122" t="s">
        <v>410</v>
      </c>
      <c r="E2875" s="123">
        <v>45987</v>
      </c>
      <c r="F2875" s="121" t="s">
        <v>67</v>
      </c>
      <c r="G2875" s="121">
        <v>4677.8088000000007</v>
      </c>
      <c r="H2875" s="124">
        <v>4.6778088000000011</v>
      </c>
      <c r="I2875" s="38">
        <f>IF(H2875&gt;30,QUOTIENT(H2875,30)*VLOOKUP(D2875,'报价表-配送'!$B$84:$I$88,8,0),0)+IF(AND(MOD(H2875,30)&gt;18,MOD(H2875,30)&lt;=30),1,0)*VLOOKUP(D2875,'报价表-配送'!$B$84:$I$88,8,0)</f>
        <v>0</v>
      </c>
      <c r="J2875" s="38">
        <f>IF(AND(MOD(H2875,30)&gt;8,MOD(H2875,30)&lt;=18),1*VLOOKUP(D2875,'报价表-配送'!$B$84:$I$88,7,0),0)</f>
        <v>0</v>
      </c>
      <c r="K2875" s="38">
        <f>IF(AND(MOD(H2875,30)&lt;=8,MOD(H2875,30)&gt;0),1,0)*VLOOKUP(D2875,'报价表-配送'!$B$84:$I$88,6,0)</f>
        <v>0</v>
      </c>
      <c r="L2875" s="121"/>
      <c r="M2875" s="126"/>
      <c r="N2875" s="127">
        <f t="shared" si="62"/>
        <v>0</v>
      </c>
    </row>
    <row r="2876" spans="1:14" x14ac:dyDescent="0.25">
      <c r="A2876" s="121" t="s">
        <v>111</v>
      </c>
      <c r="B2876" s="121" t="s">
        <v>112</v>
      </c>
      <c r="C2876" s="62">
        <f>VLOOKUP(B2876,合并仓明细!$D$2:$F$74,3,0)</f>
        <v>369</v>
      </c>
      <c r="D2876" s="122" t="s">
        <v>410</v>
      </c>
      <c r="E2876" s="123">
        <v>46036</v>
      </c>
      <c r="F2876" s="121" t="s">
        <v>67</v>
      </c>
      <c r="G2876" s="121">
        <v>9355.6176000000014</v>
      </c>
      <c r="H2876" s="124">
        <v>9.3946176000000019</v>
      </c>
      <c r="I2876" s="38">
        <f>IF(H2876&gt;30,QUOTIENT(H2876,30)*VLOOKUP(D2876,'报价表-配送'!$B$84:$I$88,8,0),0)+IF(AND(MOD(H2876,30)&gt;18,MOD(H2876,30)&lt;=30),1,0)*VLOOKUP(D2876,'报价表-配送'!$B$84:$I$88,8,0)</f>
        <v>0</v>
      </c>
      <c r="J2876" s="38">
        <f>IF(AND(MOD(H2876,30)&gt;8,MOD(H2876,30)&lt;=18),1*VLOOKUP(D2876,'报价表-配送'!$B$84:$I$88,7,0),0)</f>
        <v>0</v>
      </c>
      <c r="K2876" s="38">
        <f>IF(AND(MOD(H2876,30)&lt;=8,MOD(H2876,30)&gt;0),1,0)*VLOOKUP(D2876,'报价表-配送'!$B$84:$I$88,6,0)</f>
        <v>0</v>
      </c>
      <c r="L2876" s="121"/>
      <c r="M2876" s="126"/>
      <c r="N2876" s="127">
        <f t="shared" si="62"/>
        <v>0</v>
      </c>
    </row>
    <row r="2877" spans="1:14" x14ac:dyDescent="0.25">
      <c r="A2877" s="121" t="s">
        <v>111</v>
      </c>
      <c r="B2877" s="121" t="s">
        <v>112</v>
      </c>
      <c r="C2877" s="62">
        <f>VLOOKUP(B2877,合并仓明细!$D$2:$F$74,3,0)</f>
        <v>369</v>
      </c>
      <c r="D2877" s="122" t="s">
        <v>410</v>
      </c>
      <c r="E2877" s="123">
        <v>46036</v>
      </c>
      <c r="F2877" s="121" t="s">
        <v>66</v>
      </c>
      <c r="G2877" s="121">
        <v>39</v>
      </c>
      <c r="H2877" s="124"/>
      <c r="I2877" s="125"/>
      <c r="J2877" s="125"/>
      <c r="K2877" s="125"/>
      <c r="L2877" s="121"/>
      <c r="M2877" s="126"/>
      <c r="N2877" s="121"/>
    </row>
    <row r="2878" spans="1:14" x14ac:dyDescent="0.25">
      <c r="A2878" s="121" t="s">
        <v>111</v>
      </c>
      <c r="B2878" s="121" t="s">
        <v>112</v>
      </c>
      <c r="C2878" s="62">
        <f>VLOOKUP(B2878,合并仓明细!$D$2:$F$74,3,0)</f>
        <v>369</v>
      </c>
      <c r="D2878" s="122" t="s">
        <v>410</v>
      </c>
      <c r="E2878" s="123">
        <v>46063</v>
      </c>
      <c r="F2878" s="121" t="s">
        <v>66</v>
      </c>
      <c r="G2878" s="121">
        <v>45.363</v>
      </c>
      <c r="H2878" s="124">
        <v>4.5363000000000001E-2</v>
      </c>
      <c r="I2878" s="125"/>
      <c r="J2878" s="125"/>
      <c r="K2878" s="125"/>
      <c r="L2878" s="37">
        <f>IF(H2878&gt;30,QUOTIENT(H2878,30)*VLOOKUP(D2878,'报价表-配送'!$B$84:$I$88,8,0),0)+IF(AND(MOD(H2878,30)&gt;18,MOD(H2878,30)&lt;=30),1,0)*VLOOKUP(D2878,'报价表-配送'!$B$84:$I$88,8,0)+IF(AND(MOD(H2878,30)&gt;8,MOD(H2878,30)&lt;=18),1*VLOOKUP(D2878,'报价表-配送'!$B$84:$I$88,7,0),0)+IF(AND(MOD(H2878,30)&lt;=8,MOD(H2878,30)&gt;2.5),1,0)*VLOOKUP(D2878,'报价表-配送'!$B$84:$I$88,6,0)+IF(AND(MOD(H2878,30)&lt;=2.5,MOD(H2878,30)&gt;=1.5),1,0)*VLOOKUP(D2878,'报价表-配送'!$B$84:$I$88,5,0)</f>
        <v>0</v>
      </c>
      <c r="M2878" s="39">
        <f>IF(AND(MOD(H2878,30)&lt;1.5,MOD(H2878,30)&gt;=0.5),H2878,0)*VLOOKUP(D2878,'报价表-配送'!$B$84:$I$88,4,0)*1000+IF(AND(MOD(H2878,30)&lt;0.5,MOD(H2878,30)&gt;=0.02),H2878,0)*VLOOKUP(D2878,'报价表-配送'!$B$84:$I$88,3,0)*1000+IF(AND(MOD(H2878,30)&lt;0.02),H2878,0)*VLOOKUP(D2878,'报价表-配送'!$B$84:$I$88,2,0)*1000</f>
        <v>0</v>
      </c>
      <c r="N2878" s="127">
        <f t="shared" ref="N2878:N2879" si="63">SUM(I2878:L2878)</f>
        <v>0</v>
      </c>
    </row>
    <row r="2879" spans="1:14" x14ac:dyDescent="0.25">
      <c r="A2879" s="121" t="s">
        <v>111</v>
      </c>
      <c r="B2879" s="121" t="s">
        <v>112</v>
      </c>
      <c r="C2879" s="62">
        <f>VLOOKUP(B2879,合并仓明细!$D$2:$F$74,3,0)</f>
        <v>369</v>
      </c>
      <c r="D2879" s="122" t="s">
        <v>410</v>
      </c>
      <c r="E2879" s="123">
        <v>46104</v>
      </c>
      <c r="F2879" s="121" t="s">
        <v>67</v>
      </c>
      <c r="G2879" s="121">
        <v>9.521604</v>
      </c>
      <c r="H2879" s="124">
        <v>1.0215503999999999E-2</v>
      </c>
      <c r="I2879" s="38">
        <f>IF(H2879&gt;30,QUOTIENT(H2879,30)*VLOOKUP(D2879,'报价表-配送'!$B$84:$I$88,8,0),0)+IF(AND(MOD(H2879,30)&gt;18,MOD(H2879,30)&lt;=30),1,0)*VLOOKUP(D2879,'报价表-配送'!$B$84:$I$88,8,0)</f>
        <v>0</v>
      </c>
      <c r="J2879" s="38">
        <f>IF(AND(MOD(H2879,30)&gt;8,MOD(H2879,30)&lt;=18),1*VLOOKUP(D2879,'报价表-配送'!$B$84:$I$88,7,0),0)</f>
        <v>0</v>
      </c>
      <c r="K2879" s="38">
        <f>IF(AND(MOD(H2879,30)&lt;=8,MOD(H2879,30)&gt;0),1,0)*VLOOKUP(D2879,'报价表-配送'!$B$84:$I$88,6,0)</f>
        <v>0</v>
      </c>
      <c r="L2879" s="121"/>
      <c r="M2879" s="126"/>
      <c r="N2879" s="127">
        <f t="shared" si="63"/>
        <v>0</v>
      </c>
    </row>
    <row r="2880" spans="1:14" x14ac:dyDescent="0.25">
      <c r="A2880" s="121" t="s">
        <v>111</v>
      </c>
      <c r="B2880" s="121" t="s">
        <v>112</v>
      </c>
      <c r="C2880" s="62">
        <f>VLOOKUP(B2880,合并仓明细!$D$2:$F$74,3,0)</f>
        <v>369</v>
      </c>
      <c r="D2880" s="122" t="s">
        <v>410</v>
      </c>
      <c r="E2880" s="123">
        <v>46104</v>
      </c>
      <c r="F2880" s="121" t="s">
        <v>66</v>
      </c>
      <c r="G2880" s="121">
        <v>0.69389999999999996</v>
      </c>
      <c r="H2880" s="124"/>
      <c r="I2880" s="125"/>
      <c r="J2880" s="125"/>
      <c r="K2880" s="125"/>
      <c r="L2880" s="121"/>
      <c r="M2880" s="126"/>
      <c r="N2880" s="121"/>
    </row>
    <row r="2881" spans="1:14" x14ac:dyDescent="0.25">
      <c r="A2881" s="121" t="s">
        <v>111</v>
      </c>
      <c r="B2881" s="121" t="s">
        <v>113</v>
      </c>
      <c r="C2881" s="62">
        <f>VLOOKUP(B2881,合并仓明细!$D$2:$F$74,3,0)</f>
        <v>335</v>
      </c>
      <c r="D2881" s="122" t="s">
        <v>410</v>
      </c>
      <c r="E2881" s="123">
        <v>45973</v>
      </c>
      <c r="F2881" s="121" t="s">
        <v>67</v>
      </c>
      <c r="G2881" s="121">
        <v>4268.4348</v>
      </c>
      <c r="H2881" s="124">
        <v>4.2921848000000002</v>
      </c>
      <c r="I2881" s="38">
        <f>IF(H2881&gt;30,QUOTIENT(H2881,30)*VLOOKUP(D2881,'报价表-配送'!$B$84:$I$88,8,0),0)+IF(AND(MOD(H2881,30)&gt;18,MOD(H2881,30)&lt;=30),1,0)*VLOOKUP(D2881,'报价表-配送'!$B$84:$I$88,8,0)</f>
        <v>0</v>
      </c>
      <c r="J2881" s="38">
        <f>IF(AND(MOD(H2881,30)&gt;8,MOD(H2881,30)&lt;=18),1*VLOOKUP(D2881,'报价表-配送'!$B$84:$I$88,7,0),0)</f>
        <v>0</v>
      </c>
      <c r="K2881" s="38">
        <f>IF(AND(MOD(H2881,30)&lt;=8,MOD(H2881,30)&gt;0),1,0)*VLOOKUP(D2881,'报价表-配送'!$B$84:$I$88,6,0)</f>
        <v>0</v>
      </c>
      <c r="L2881" s="121"/>
      <c r="M2881" s="126"/>
      <c r="N2881" s="127">
        <f t="shared" ref="N2881" si="64">SUM(I2881:L2881)</f>
        <v>0</v>
      </c>
    </row>
    <row r="2882" spans="1:14" x14ac:dyDescent="0.25">
      <c r="A2882" s="121" t="s">
        <v>111</v>
      </c>
      <c r="B2882" s="121" t="s">
        <v>113</v>
      </c>
      <c r="C2882" s="62">
        <f>VLOOKUP(B2882,合并仓明细!$D$2:$F$74,3,0)</f>
        <v>335</v>
      </c>
      <c r="D2882" s="122" t="s">
        <v>410</v>
      </c>
      <c r="E2882" s="123">
        <v>45973</v>
      </c>
      <c r="F2882" s="121" t="s">
        <v>66</v>
      </c>
      <c r="G2882" s="121">
        <v>23.75</v>
      </c>
      <c r="H2882" s="124"/>
      <c r="I2882" s="125"/>
      <c r="J2882" s="125"/>
      <c r="K2882" s="125"/>
      <c r="L2882" s="121"/>
      <c r="M2882" s="126"/>
      <c r="N2882" s="121"/>
    </row>
    <row r="2883" spans="1:14" x14ac:dyDescent="0.25">
      <c r="A2883" s="121" t="s">
        <v>111</v>
      </c>
      <c r="B2883" s="121" t="s">
        <v>113</v>
      </c>
      <c r="C2883" s="62">
        <f>VLOOKUP(B2883,合并仓明细!$D$2:$F$74,3,0)</f>
        <v>335</v>
      </c>
      <c r="D2883" s="122" t="s">
        <v>410</v>
      </c>
      <c r="E2883" s="123">
        <v>45993</v>
      </c>
      <c r="F2883" s="121" t="s">
        <v>66</v>
      </c>
      <c r="G2883" s="121">
        <v>214.53333329999998</v>
      </c>
      <c r="H2883" s="124">
        <v>0.21453333329999999</v>
      </c>
      <c r="I2883" s="125"/>
      <c r="J2883" s="125"/>
      <c r="K2883" s="125"/>
      <c r="L2883" s="37">
        <f>IF(H2883&gt;30,QUOTIENT(H2883,30)*VLOOKUP(D2883,'报价表-配送'!$B$84:$I$88,8,0),0)+IF(AND(MOD(H2883,30)&gt;18,MOD(H2883,30)&lt;=30),1,0)*VLOOKUP(D2883,'报价表-配送'!$B$84:$I$88,8,0)+IF(AND(MOD(H2883,30)&gt;8,MOD(H2883,30)&lt;=18),1*VLOOKUP(D2883,'报价表-配送'!$B$84:$I$88,7,0),0)+IF(AND(MOD(H2883,30)&lt;=8,MOD(H2883,30)&gt;2.5),1,0)*VLOOKUP(D2883,'报价表-配送'!$B$84:$I$88,6,0)+IF(AND(MOD(H2883,30)&lt;=2.5,MOD(H2883,30)&gt;=1.5),1,0)*VLOOKUP(D2883,'报价表-配送'!$B$84:$I$88,5,0)</f>
        <v>0</v>
      </c>
      <c r="M2883" s="39">
        <f>IF(AND(MOD(H2883,30)&lt;1.5,MOD(H2883,30)&gt;=0.5),H2883,0)*VLOOKUP(D2883,'报价表-配送'!$B$84:$I$88,4,0)*1000+IF(AND(MOD(H2883,30)&lt;0.5,MOD(H2883,30)&gt;=0.02),H2883,0)*VLOOKUP(D2883,'报价表-配送'!$B$84:$I$88,3,0)*1000+IF(AND(MOD(H2883,30)&lt;0.02),H2883,0)*VLOOKUP(D2883,'报价表-配送'!$B$84:$I$88,2,0)*1000</f>
        <v>0</v>
      </c>
      <c r="N2883" s="127">
        <f t="shared" ref="N2883:N2884" si="65">SUM(I2883:L2883)</f>
        <v>0</v>
      </c>
    </row>
    <row r="2884" spans="1:14" x14ac:dyDescent="0.25">
      <c r="A2884" s="121" t="s">
        <v>111</v>
      </c>
      <c r="B2884" s="121" t="s">
        <v>113</v>
      </c>
      <c r="C2884" s="62">
        <f>VLOOKUP(B2884,合并仓明细!$D$2:$F$74,3,0)</f>
        <v>335</v>
      </c>
      <c r="D2884" s="122" t="s">
        <v>410</v>
      </c>
      <c r="E2884" s="123">
        <v>46028</v>
      </c>
      <c r="F2884" s="121" t="s">
        <v>67</v>
      </c>
      <c r="G2884" s="121">
        <v>15861.436392</v>
      </c>
      <c r="H2884" s="124">
        <v>16.900339391999999</v>
      </c>
      <c r="I2884" s="38">
        <f>IF(H2884&gt;30,QUOTIENT(H2884,30)*VLOOKUP(D2884,'报价表-配送'!$B$84:$I$88,8,0),0)+IF(AND(MOD(H2884,30)&gt;18,MOD(H2884,30)&lt;=30),1,0)*VLOOKUP(D2884,'报价表-配送'!$B$84:$I$88,8,0)</f>
        <v>0</v>
      </c>
      <c r="J2884" s="38">
        <f>IF(AND(MOD(H2884,30)&gt;8,MOD(H2884,30)&lt;=18),1*VLOOKUP(D2884,'报价表-配送'!$B$84:$I$88,7,0),0)</f>
        <v>0</v>
      </c>
      <c r="K2884" s="38">
        <f>IF(AND(MOD(H2884,30)&lt;=8,MOD(H2884,30)&gt;0),1,0)*VLOOKUP(D2884,'报价表-配送'!$B$84:$I$88,6,0)</f>
        <v>0</v>
      </c>
      <c r="L2884" s="121"/>
      <c r="M2884" s="126"/>
      <c r="N2884" s="127">
        <f t="shared" si="65"/>
        <v>0</v>
      </c>
    </row>
    <row r="2885" spans="1:14" x14ac:dyDescent="0.25">
      <c r="A2885" s="121" t="s">
        <v>111</v>
      </c>
      <c r="B2885" s="121" t="s">
        <v>113</v>
      </c>
      <c r="C2885" s="62">
        <f>VLOOKUP(B2885,合并仓明细!$D$2:$F$74,3,0)</f>
        <v>335</v>
      </c>
      <c r="D2885" s="122" t="s">
        <v>410</v>
      </c>
      <c r="E2885" s="123">
        <v>46028</v>
      </c>
      <c r="F2885" s="121" t="s">
        <v>66</v>
      </c>
      <c r="G2885" s="121">
        <v>1038.903</v>
      </c>
      <c r="H2885" s="124"/>
      <c r="I2885" s="125"/>
      <c r="J2885" s="125"/>
      <c r="K2885" s="125"/>
      <c r="L2885" s="121"/>
      <c r="M2885" s="126"/>
      <c r="N2885" s="121"/>
    </row>
    <row r="2886" spans="1:14" x14ac:dyDescent="0.25">
      <c r="A2886" s="121" t="s">
        <v>111</v>
      </c>
      <c r="B2886" s="121" t="s">
        <v>113</v>
      </c>
      <c r="C2886" s="62">
        <f>VLOOKUP(B2886,合并仓明细!$D$2:$F$74,3,0)</f>
        <v>335</v>
      </c>
      <c r="D2886" s="122" t="s">
        <v>410</v>
      </c>
      <c r="E2886" s="123">
        <v>46043</v>
      </c>
      <c r="F2886" s="121" t="s">
        <v>66</v>
      </c>
      <c r="G2886" s="121">
        <v>910.82500000000005</v>
      </c>
      <c r="H2886" s="124">
        <v>0.910825</v>
      </c>
      <c r="I2886" s="125"/>
      <c r="J2886" s="125"/>
      <c r="K2886" s="125"/>
      <c r="L2886" s="37">
        <f>IF(H2886&gt;30,QUOTIENT(H2886,30)*VLOOKUP(D2886,'报价表-配送'!$B$84:$I$88,8,0),0)+IF(AND(MOD(H2886,30)&gt;18,MOD(H2886,30)&lt;=30),1,0)*VLOOKUP(D2886,'报价表-配送'!$B$84:$I$88,8,0)+IF(AND(MOD(H2886,30)&gt;8,MOD(H2886,30)&lt;=18),1*VLOOKUP(D2886,'报价表-配送'!$B$84:$I$88,7,0),0)+IF(AND(MOD(H2886,30)&lt;=8,MOD(H2886,30)&gt;2.5),1,0)*VLOOKUP(D2886,'报价表-配送'!$B$84:$I$88,6,0)+IF(AND(MOD(H2886,30)&lt;=2.5,MOD(H2886,30)&gt;=1.5),1,0)*VLOOKUP(D2886,'报价表-配送'!$B$84:$I$88,5,0)</f>
        <v>0</v>
      </c>
      <c r="M2886" s="39">
        <f>IF(AND(MOD(H2886,30)&lt;1.5,MOD(H2886,30)&gt;=0.5),H2886,0)*VLOOKUP(D2886,'报价表-配送'!$B$84:$I$88,4,0)*1000+IF(AND(MOD(H2886,30)&lt;0.5,MOD(H2886,30)&gt;=0.02),H2886,0)*VLOOKUP(D2886,'报价表-配送'!$B$84:$I$88,3,0)*1000+IF(AND(MOD(H2886,30)&lt;0.02),H2886,0)*VLOOKUP(D2886,'报价表-配送'!$B$84:$I$88,2,0)*1000</f>
        <v>0</v>
      </c>
      <c r="N2886" s="127">
        <f t="shared" ref="N2886:N2888" si="66">SUM(I2886:L2886)</f>
        <v>0</v>
      </c>
    </row>
    <row r="2887" spans="1:14" x14ac:dyDescent="0.25">
      <c r="A2887" s="121" t="s">
        <v>111</v>
      </c>
      <c r="B2887" s="121" t="s">
        <v>114</v>
      </c>
      <c r="C2887" s="62">
        <f>VLOOKUP(B2887,合并仓明细!$D$2:$F$74,3,0)</f>
        <v>294</v>
      </c>
      <c r="D2887" s="122" t="s">
        <v>414</v>
      </c>
      <c r="E2887" s="123">
        <v>46001</v>
      </c>
      <c r="F2887" s="121" t="s">
        <v>67</v>
      </c>
      <c r="G2887" s="121">
        <v>4457.9531999999999</v>
      </c>
      <c r="H2887" s="124">
        <v>4.4579531999999995</v>
      </c>
      <c r="I2887" s="38">
        <f>IF(H2887&gt;30,QUOTIENT(H2887,30)*VLOOKUP(D2887,'报价表-配送'!$B$84:$I$88,8,0),0)+IF(AND(MOD(H2887,30)&gt;18,MOD(H2887,30)&lt;=30),1,0)*VLOOKUP(D2887,'报价表-配送'!$B$84:$I$88,8,0)</f>
        <v>0</v>
      </c>
      <c r="J2887" s="38">
        <f>IF(AND(MOD(H2887,30)&gt;8,MOD(H2887,30)&lt;=18),1*VLOOKUP(D2887,'报价表-配送'!$B$84:$I$88,7,0),0)</f>
        <v>0</v>
      </c>
      <c r="K2887" s="38">
        <f>IF(AND(MOD(H2887,30)&lt;=8,MOD(H2887,30)&gt;0),1,0)*VLOOKUP(D2887,'报价表-配送'!$B$84:$I$88,6,0)</f>
        <v>0</v>
      </c>
      <c r="L2887" s="121"/>
      <c r="M2887" s="126"/>
      <c r="N2887" s="127">
        <f t="shared" si="66"/>
        <v>0</v>
      </c>
    </row>
    <row r="2888" spans="1:14" x14ac:dyDescent="0.25">
      <c r="A2888" s="121" t="s">
        <v>111</v>
      </c>
      <c r="B2888" s="121" t="s">
        <v>114</v>
      </c>
      <c r="C2888" s="62">
        <f>VLOOKUP(B2888,合并仓明细!$D$2:$F$74,3,0)</f>
        <v>294</v>
      </c>
      <c r="D2888" s="122" t="s">
        <v>414</v>
      </c>
      <c r="E2888" s="123">
        <v>46015</v>
      </c>
      <c r="F2888" s="121" t="s">
        <v>67</v>
      </c>
      <c r="G2888" s="121">
        <v>5624.9772479999992</v>
      </c>
      <c r="H2888" s="124">
        <v>6.2196222479999994</v>
      </c>
      <c r="I2888" s="38">
        <f>IF(H2888&gt;30,QUOTIENT(H2888,30)*VLOOKUP(D2888,'报价表-配送'!$B$84:$I$88,8,0),0)+IF(AND(MOD(H2888,30)&gt;18,MOD(H2888,30)&lt;=30),1,0)*VLOOKUP(D2888,'报价表-配送'!$B$84:$I$88,8,0)</f>
        <v>0</v>
      </c>
      <c r="J2888" s="38">
        <f>IF(AND(MOD(H2888,30)&gt;8,MOD(H2888,30)&lt;=18),1*VLOOKUP(D2888,'报价表-配送'!$B$84:$I$88,7,0),0)</f>
        <v>0</v>
      </c>
      <c r="K2888" s="38">
        <f>IF(AND(MOD(H2888,30)&lt;=8,MOD(H2888,30)&gt;0),1,0)*VLOOKUP(D2888,'报价表-配送'!$B$84:$I$88,6,0)</f>
        <v>0</v>
      </c>
      <c r="L2888" s="121"/>
      <c r="M2888" s="126"/>
      <c r="N2888" s="127">
        <f t="shared" si="66"/>
        <v>0</v>
      </c>
    </row>
    <row r="2889" spans="1:14" x14ac:dyDescent="0.25">
      <c r="A2889" s="121" t="s">
        <v>111</v>
      </c>
      <c r="B2889" s="121" t="s">
        <v>114</v>
      </c>
      <c r="C2889" s="62">
        <f>VLOOKUP(B2889,合并仓明细!$D$2:$F$74,3,0)</f>
        <v>294</v>
      </c>
      <c r="D2889" s="122" t="s">
        <v>414</v>
      </c>
      <c r="E2889" s="123">
        <v>46015</v>
      </c>
      <c r="F2889" s="121" t="s">
        <v>66</v>
      </c>
      <c r="G2889" s="121">
        <v>594.64499999999998</v>
      </c>
      <c r="H2889" s="124"/>
      <c r="I2889" s="125"/>
      <c r="J2889" s="125"/>
      <c r="K2889" s="125"/>
      <c r="L2889" s="121"/>
      <c r="M2889" s="126"/>
      <c r="N2889" s="121"/>
    </row>
    <row r="2890" spans="1:14" x14ac:dyDescent="0.25">
      <c r="A2890" s="121" t="s">
        <v>111</v>
      </c>
      <c r="B2890" s="121" t="s">
        <v>114</v>
      </c>
      <c r="C2890" s="62">
        <f>VLOOKUP(B2890,合并仓明细!$D$2:$F$74,3,0)</f>
        <v>294</v>
      </c>
      <c r="D2890" s="122" t="s">
        <v>414</v>
      </c>
      <c r="E2890" s="123">
        <v>46043</v>
      </c>
      <c r="F2890" s="121" t="s">
        <v>67</v>
      </c>
      <c r="G2890" s="121">
        <v>5873.1833999999999</v>
      </c>
      <c r="H2890" s="124">
        <v>6.0131834</v>
      </c>
      <c r="I2890" s="38">
        <f>IF(H2890&gt;30,QUOTIENT(H2890,30)*VLOOKUP(D2890,'报价表-配送'!$B$84:$I$88,8,0),0)+IF(AND(MOD(H2890,30)&gt;18,MOD(H2890,30)&lt;=30),1,0)*VLOOKUP(D2890,'报价表-配送'!$B$84:$I$88,8,0)</f>
        <v>0</v>
      </c>
      <c r="J2890" s="38">
        <f>IF(AND(MOD(H2890,30)&gt;8,MOD(H2890,30)&lt;=18),1*VLOOKUP(D2890,'报价表-配送'!$B$84:$I$88,7,0),0)</f>
        <v>0</v>
      </c>
      <c r="K2890" s="38">
        <f>IF(AND(MOD(H2890,30)&lt;=8,MOD(H2890,30)&gt;0),1,0)*VLOOKUP(D2890,'报价表-配送'!$B$84:$I$88,6,0)</f>
        <v>0</v>
      </c>
      <c r="L2890" s="121"/>
      <c r="M2890" s="126"/>
      <c r="N2890" s="127">
        <f t="shared" ref="N2890" si="67">SUM(I2890:L2890)</f>
        <v>0</v>
      </c>
    </row>
    <row r="2891" spans="1:14" x14ac:dyDescent="0.25">
      <c r="A2891" s="121" t="s">
        <v>111</v>
      </c>
      <c r="B2891" s="121" t="s">
        <v>114</v>
      </c>
      <c r="C2891" s="62">
        <f>VLOOKUP(B2891,合并仓明细!$D$2:$F$74,3,0)</f>
        <v>294</v>
      </c>
      <c r="D2891" s="122" t="s">
        <v>414</v>
      </c>
      <c r="E2891" s="123">
        <v>46043</v>
      </c>
      <c r="F2891" s="121" t="s">
        <v>66</v>
      </c>
      <c r="G2891" s="121">
        <v>140</v>
      </c>
      <c r="H2891" s="124"/>
      <c r="I2891" s="125"/>
      <c r="J2891" s="125"/>
      <c r="K2891" s="125"/>
      <c r="L2891" s="121"/>
      <c r="M2891" s="126"/>
      <c r="N2891" s="121"/>
    </row>
    <row r="2892" spans="1:14" x14ac:dyDescent="0.25">
      <c r="A2892" s="121" t="s">
        <v>111</v>
      </c>
      <c r="B2892" s="121" t="s">
        <v>115</v>
      </c>
      <c r="C2892" s="62">
        <f>VLOOKUP(B2892,合并仓明细!$D$2:$F$74,3,0)</f>
        <v>69</v>
      </c>
      <c r="D2892" s="122" t="s">
        <v>393</v>
      </c>
      <c r="E2892" s="123">
        <v>45967</v>
      </c>
      <c r="F2892" s="121" t="s">
        <v>67</v>
      </c>
      <c r="G2892" s="121">
        <v>5461.6601820000005</v>
      </c>
      <c r="H2892" s="124">
        <v>5.4616601820000001</v>
      </c>
      <c r="I2892" s="38">
        <f>IF(H2892&gt;30,QUOTIENT(H2892,30)*VLOOKUP(D2892,'报价表-配送'!$B$84:$I$88,8,0),0)+IF(AND(MOD(H2892,30)&gt;18,MOD(H2892,30)&lt;=30),1,0)*VLOOKUP(D2892,'报价表-配送'!$B$84:$I$88,8,0)</f>
        <v>0</v>
      </c>
      <c r="J2892" s="38">
        <f>IF(AND(MOD(H2892,30)&gt;8,MOD(H2892,30)&lt;=18),1*VLOOKUP(D2892,'报价表-配送'!$B$84:$I$88,7,0),0)</f>
        <v>0</v>
      </c>
      <c r="K2892" s="38">
        <f>IF(AND(MOD(H2892,30)&lt;=8,MOD(H2892,30)&gt;0),1,0)*VLOOKUP(D2892,'报价表-配送'!$B$84:$I$88,6,0)</f>
        <v>0</v>
      </c>
      <c r="L2892" s="121"/>
      <c r="M2892" s="126"/>
      <c r="N2892" s="127">
        <f t="shared" ref="N2892:N2893" si="68">SUM(I2892:L2892)</f>
        <v>0</v>
      </c>
    </row>
    <row r="2893" spans="1:14" x14ac:dyDescent="0.25">
      <c r="A2893" s="121" t="s">
        <v>111</v>
      </c>
      <c r="B2893" s="121" t="s">
        <v>115</v>
      </c>
      <c r="C2893" s="62">
        <f>VLOOKUP(B2893,合并仓明细!$D$2:$F$74,3,0)</f>
        <v>69</v>
      </c>
      <c r="D2893" s="122" t="s">
        <v>393</v>
      </c>
      <c r="E2893" s="123">
        <v>45981</v>
      </c>
      <c r="F2893" s="121" t="s">
        <v>68</v>
      </c>
      <c r="G2893" s="121">
        <v>209.47199999999998</v>
      </c>
      <c r="H2893" s="124">
        <v>9.7582980060000004</v>
      </c>
      <c r="I2893" s="46">
        <f>ROUNDUP(H2893/30,0)*VLOOKUP(D2893,'报价表-配送'!$B$84:$I$88,8,0)</f>
        <v>0</v>
      </c>
      <c r="J2893" s="125"/>
      <c r="K2893" s="125"/>
      <c r="L2893" s="121"/>
      <c r="M2893" s="126"/>
      <c r="N2893" s="127">
        <f t="shared" si="68"/>
        <v>0</v>
      </c>
    </row>
    <row r="2894" spans="1:14" x14ac:dyDescent="0.25">
      <c r="A2894" s="121" t="s">
        <v>111</v>
      </c>
      <c r="B2894" s="121" t="s">
        <v>115</v>
      </c>
      <c r="C2894" s="62">
        <f>VLOOKUP(B2894,合并仓明细!$D$2:$F$74,3,0)</f>
        <v>69</v>
      </c>
      <c r="D2894" s="122" t="s">
        <v>393</v>
      </c>
      <c r="E2894" s="123">
        <v>45981</v>
      </c>
      <c r="F2894" s="121" t="s">
        <v>67</v>
      </c>
      <c r="G2894" s="121">
        <v>9083.2680060000002</v>
      </c>
      <c r="H2894" s="124"/>
      <c r="I2894" s="125"/>
      <c r="J2894" s="125"/>
      <c r="K2894" s="125"/>
      <c r="L2894" s="121"/>
      <c r="M2894" s="126"/>
      <c r="N2894" s="121"/>
    </row>
    <row r="2895" spans="1:14" x14ac:dyDescent="0.25">
      <c r="A2895" s="121" t="s">
        <v>111</v>
      </c>
      <c r="B2895" s="121" t="s">
        <v>115</v>
      </c>
      <c r="C2895" s="62">
        <f>VLOOKUP(B2895,合并仓明细!$D$2:$F$74,3,0)</f>
        <v>69</v>
      </c>
      <c r="D2895" s="122" t="s">
        <v>393</v>
      </c>
      <c r="E2895" s="123">
        <v>45981</v>
      </c>
      <c r="F2895" s="121" t="s">
        <v>66</v>
      </c>
      <c r="G2895" s="121">
        <v>465.55800000000005</v>
      </c>
      <c r="H2895" s="124"/>
      <c r="I2895" s="125"/>
      <c r="J2895" s="125"/>
      <c r="K2895" s="125"/>
      <c r="L2895" s="121"/>
      <c r="M2895" s="126"/>
      <c r="N2895" s="121"/>
    </row>
    <row r="2896" spans="1:14" x14ac:dyDescent="0.25">
      <c r="A2896" s="121" t="s">
        <v>111</v>
      </c>
      <c r="B2896" s="121" t="s">
        <v>115</v>
      </c>
      <c r="C2896" s="62">
        <f>VLOOKUP(B2896,合并仓明细!$D$2:$F$74,3,0)</f>
        <v>69</v>
      </c>
      <c r="D2896" s="122" t="s">
        <v>393</v>
      </c>
      <c r="E2896" s="123">
        <v>45987</v>
      </c>
      <c r="F2896" s="121" t="s">
        <v>66</v>
      </c>
      <c r="G2896" s="121">
        <v>273.75666660000002</v>
      </c>
      <c r="H2896" s="124">
        <v>0.27375666660000003</v>
      </c>
      <c r="I2896" s="125"/>
      <c r="J2896" s="125"/>
      <c r="K2896" s="125"/>
      <c r="L2896" s="37">
        <f>IF(H2896&gt;30,QUOTIENT(H2896,30)*VLOOKUP(D2896,'报价表-配送'!$B$84:$I$88,8,0),0)+IF(AND(MOD(H2896,30)&gt;18,MOD(H2896,30)&lt;=30),1,0)*VLOOKUP(D2896,'报价表-配送'!$B$84:$I$88,8,0)+IF(AND(MOD(H2896,30)&gt;8,MOD(H2896,30)&lt;=18),1*VLOOKUP(D2896,'报价表-配送'!$B$84:$I$88,7,0),0)+IF(AND(MOD(H2896,30)&lt;=8,MOD(H2896,30)&gt;2.5),1,0)*VLOOKUP(D2896,'报价表-配送'!$B$84:$I$88,6,0)+IF(AND(MOD(H2896,30)&lt;=2.5,MOD(H2896,30)&gt;=1.5),1,0)*VLOOKUP(D2896,'报价表-配送'!$B$84:$I$88,5,0)</f>
        <v>0</v>
      </c>
      <c r="M2896" s="39">
        <f>IF(AND(MOD(H2896,30)&lt;1.5,MOD(H2896,30)&gt;=0.5),H2896,0)*VLOOKUP(D2896,'报价表-配送'!$B$84:$I$88,4,0)*1000+IF(AND(MOD(H2896,30)&lt;0.5,MOD(H2896,30)&gt;=0.02),H2896,0)*VLOOKUP(D2896,'报价表-配送'!$B$84:$I$88,3,0)*1000+IF(AND(MOD(H2896,30)&lt;0.02),H2896,0)*VLOOKUP(D2896,'报价表-配送'!$B$84:$I$88,2,0)*1000</f>
        <v>0</v>
      </c>
      <c r="N2896" s="127">
        <f t="shared" ref="N2896:N2897" si="69">SUM(I2896:L2896)</f>
        <v>0</v>
      </c>
    </row>
    <row r="2897" spans="1:14" x14ac:dyDescent="0.25">
      <c r="A2897" s="121" t="s">
        <v>111</v>
      </c>
      <c r="B2897" s="121" t="s">
        <v>115</v>
      </c>
      <c r="C2897" s="62">
        <f>VLOOKUP(B2897,合并仓明细!$D$2:$F$74,3,0)</f>
        <v>69</v>
      </c>
      <c r="D2897" s="122" t="s">
        <v>393</v>
      </c>
      <c r="E2897" s="123">
        <v>46000</v>
      </c>
      <c r="F2897" s="121" t="s">
        <v>68</v>
      </c>
      <c r="G2897" s="121">
        <v>1394.4215999999999</v>
      </c>
      <c r="H2897" s="124">
        <v>16.279478464</v>
      </c>
      <c r="I2897" s="46">
        <f>ROUNDUP(H2897/30,0)*VLOOKUP(D2897,'报价表-配送'!$B$84:$I$88,8,0)</f>
        <v>0</v>
      </c>
      <c r="J2897" s="125"/>
      <c r="K2897" s="125"/>
      <c r="L2897" s="121"/>
      <c r="M2897" s="126"/>
      <c r="N2897" s="127">
        <f t="shared" si="69"/>
        <v>0</v>
      </c>
    </row>
    <row r="2898" spans="1:14" x14ac:dyDescent="0.25">
      <c r="A2898" s="121" t="s">
        <v>111</v>
      </c>
      <c r="B2898" s="121" t="s">
        <v>115</v>
      </c>
      <c r="C2898" s="62">
        <f>VLOOKUP(B2898,合并仓明细!$D$2:$F$74,3,0)</f>
        <v>69</v>
      </c>
      <c r="D2898" s="122" t="s">
        <v>393</v>
      </c>
      <c r="E2898" s="123">
        <v>46000</v>
      </c>
      <c r="F2898" s="121" t="s">
        <v>67</v>
      </c>
      <c r="G2898" s="121">
        <v>14860.776864000001</v>
      </c>
      <c r="H2898" s="124"/>
      <c r="I2898" s="125"/>
      <c r="J2898" s="125"/>
      <c r="K2898" s="125"/>
      <c r="L2898" s="121"/>
      <c r="M2898" s="126"/>
      <c r="N2898" s="121"/>
    </row>
    <row r="2899" spans="1:14" x14ac:dyDescent="0.25">
      <c r="A2899" s="121" t="s">
        <v>111</v>
      </c>
      <c r="B2899" s="121" t="s">
        <v>115</v>
      </c>
      <c r="C2899" s="62">
        <f>VLOOKUP(B2899,合并仓明细!$D$2:$F$74,3,0)</f>
        <v>69</v>
      </c>
      <c r="D2899" s="122" t="s">
        <v>393</v>
      </c>
      <c r="E2899" s="123">
        <v>46000</v>
      </c>
      <c r="F2899" s="121" t="s">
        <v>66</v>
      </c>
      <c r="G2899" s="121">
        <v>24.28</v>
      </c>
      <c r="H2899" s="124"/>
      <c r="I2899" s="125"/>
      <c r="J2899" s="125"/>
      <c r="K2899" s="125"/>
      <c r="L2899" s="121"/>
      <c r="M2899" s="126"/>
      <c r="N2899" s="121"/>
    </row>
    <row r="2900" spans="1:14" x14ac:dyDescent="0.25">
      <c r="A2900" s="121" t="s">
        <v>111</v>
      </c>
      <c r="B2900" s="121" t="s">
        <v>115</v>
      </c>
      <c r="C2900" s="62">
        <f>VLOOKUP(B2900,合并仓明细!$D$2:$F$74,3,0)</f>
        <v>69</v>
      </c>
      <c r="D2900" s="122" t="s">
        <v>393</v>
      </c>
      <c r="E2900" s="123">
        <v>46027</v>
      </c>
      <c r="F2900" s="121" t="s">
        <v>66</v>
      </c>
      <c r="G2900" s="121">
        <v>638.74666479999996</v>
      </c>
      <c r="H2900" s="124">
        <v>0.63874666479999997</v>
      </c>
      <c r="I2900" s="125"/>
      <c r="J2900" s="125"/>
      <c r="K2900" s="125"/>
      <c r="L2900" s="37">
        <f>IF(H2900&gt;30,QUOTIENT(H2900,30)*VLOOKUP(D2900,'报价表-配送'!$B$84:$I$88,8,0),0)+IF(AND(MOD(H2900,30)&gt;18,MOD(H2900,30)&lt;=30),1,0)*VLOOKUP(D2900,'报价表-配送'!$B$84:$I$88,8,0)+IF(AND(MOD(H2900,30)&gt;8,MOD(H2900,30)&lt;=18),1*VLOOKUP(D2900,'报价表-配送'!$B$84:$I$88,7,0),0)+IF(AND(MOD(H2900,30)&lt;=8,MOD(H2900,30)&gt;2.5),1,0)*VLOOKUP(D2900,'报价表-配送'!$B$84:$I$88,6,0)+IF(AND(MOD(H2900,30)&lt;=2.5,MOD(H2900,30)&gt;=1.5),1,0)*VLOOKUP(D2900,'报价表-配送'!$B$84:$I$88,5,0)</f>
        <v>0</v>
      </c>
      <c r="M2900" s="39">
        <f>IF(AND(MOD(H2900,30)&lt;1.5,MOD(H2900,30)&gt;=0.5),H2900,0)*VLOOKUP(D2900,'报价表-配送'!$B$84:$I$88,4,0)*1000+IF(AND(MOD(H2900,30)&lt;0.5,MOD(H2900,30)&gt;=0.02),H2900,0)*VLOOKUP(D2900,'报价表-配送'!$B$84:$I$88,3,0)*1000+IF(AND(MOD(H2900,30)&lt;0.02),H2900,0)*VLOOKUP(D2900,'报价表-配送'!$B$84:$I$88,2,0)*1000</f>
        <v>0</v>
      </c>
      <c r="N2900" s="127">
        <f t="shared" ref="N2900:N2902" si="70">SUM(I2900:L2900)</f>
        <v>0</v>
      </c>
    </row>
    <row r="2901" spans="1:14" x14ac:dyDescent="0.25">
      <c r="A2901" s="121" t="s">
        <v>111</v>
      </c>
      <c r="B2901" s="121" t="s">
        <v>115</v>
      </c>
      <c r="C2901" s="62">
        <f>VLOOKUP(B2901,合并仓明细!$D$2:$F$74,3,0)</f>
        <v>69</v>
      </c>
      <c r="D2901" s="122" t="s">
        <v>393</v>
      </c>
      <c r="E2901" s="123">
        <v>46029</v>
      </c>
      <c r="F2901" s="121" t="s">
        <v>67</v>
      </c>
      <c r="G2901" s="121">
        <v>3512.3991780000001</v>
      </c>
      <c r="H2901" s="124">
        <v>3.5123991779999999</v>
      </c>
      <c r="I2901" s="38">
        <f>IF(H2901&gt;30,QUOTIENT(H2901,30)*VLOOKUP(D2901,'报价表-配送'!$B$84:$I$88,8,0),0)+IF(AND(MOD(H2901,30)&gt;18,MOD(H2901,30)&lt;=30),1,0)*VLOOKUP(D2901,'报价表-配送'!$B$84:$I$88,8,0)</f>
        <v>0</v>
      </c>
      <c r="J2901" s="38">
        <f>IF(AND(MOD(H2901,30)&gt;8,MOD(H2901,30)&lt;=18),1*VLOOKUP(D2901,'报价表-配送'!$B$84:$I$88,7,0),0)</f>
        <v>0</v>
      </c>
      <c r="K2901" s="38">
        <f>IF(AND(MOD(H2901,30)&lt;=8,MOD(H2901,30)&gt;0),1,0)*VLOOKUP(D2901,'报价表-配送'!$B$84:$I$88,6,0)</f>
        <v>0</v>
      </c>
      <c r="L2901" s="121"/>
      <c r="M2901" s="126"/>
      <c r="N2901" s="127">
        <f t="shared" si="70"/>
        <v>0</v>
      </c>
    </row>
    <row r="2902" spans="1:14" x14ac:dyDescent="0.25">
      <c r="A2902" s="121" t="s">
        <v>111</v>
      </c>
      <c r="B2902" s="121" t="s">
        <v>115</v>
      </c>
      <c r="C2902" s="62">
        <f>VLOOKUP(B2902,合并仓明细!$D$2:$F$74,3,0)</f>
        <v>69</v>
      </c>
      <c r="D2902" s="122" t="s">
        <v>393</v>
      </c>
      <c r="E2902" s="123">
        <v>46036</v>
      </c>
      <c r="F2902" s="121" t="s">
        <v>67</v>
      </c>
      <c r="G2902" s="121">
        <v>3290.9646480000001</v>
      </c>
      <c r="H2902" s="124">
        <v>3.6677771480000003</v>
      </c>
      <c r="I2902" s="38">
        <f>IF(H2902&gt;30,QUOTIENT(H2902,30)*VLOOKUP(D2902,'报价表-配送'!$B$84:$I$88,8,0),0)+IF(AND(MOD(H2902,30)&gt;18,MOD(H2902,30)&lt;=30),1,0)*VLOOKUP(D2902,'报价表-配送'!$B$84:$I$88,8,0)</f>
        <v>0</v>
      </c>
      <c r="J2902" s="38">
        <f>IF(AND(MOD(H2902,30)&gt;8,MOD(H2902,30)&lt;=18),1*VLOOKUP(D2902,'报价表-配送'!$B$84:$I$88,7,0),0)</f>
        <v>0</v>
      </c>
      <c r="K2902" s="38">
        <f>IF(AND(MOD(H2902,30)&lt;=8,MOD(H2902,30)&gt;0),1,0)*VLOOKUP(D2902,'报价表-配送'!$B$84:$I$88,6,0)</f>
        <v>0</v>
      </c>
      <c r="L2902" s="121"/>
      <c r="M2902" s="126"/>
      <c r="N2902" s="127">
        <f t="shared" si="70"/>
        <v>0</v>
      </c>
    </row>
    <row r="2903" spans="1:14" x14ac:dyDescent="0.25">
      <c r="A2903" s="121" t="s">
        <v>111</v>
      </c>
      <c r="B2903" s="121" t="s">
        <v>115</v>
      </c>
      <c r="C2903" s="62">
        <f>VLOOKUP(B2903,合并仓明细!$D$2:$F$74,3,0)</f>
        <v>69</v>
      </c>
      <c r="D2903" s="122" t="s">
        <v>393</v>
      </c>
      <c r="E2903" s="123">
        <v>46036</v>
      </c>
      <c r="F2903" s="121" t="s">
        <v>66</v>
      </c>
      <c r="G2903" s="121">
        <v>376.8125</v>
      </c>
      <c r="H2903" s="124"/>
      <c r="I2903" s="125"/>
      <c r="J2903" s="125"/>
      <c r="K2903" s="125"/>
      <c r="L2903" s="121"/>
      <c r="M2903" s="126"/>
      <c r="N2903" s="121"/>
    </row>
    <row r="2904" spans="1:14" x14ac:dyDescent="0.25">
      <c r="A2904" s="121" t="s">
        <v>111</v>
      </c>
      <c r="B2904" s="121" t="s">
        <v>115</v>
      </c>
      <c r="C2904" s="62">
        <f>VLOOKUP(B2904,合并仓明细!$D$2:$F$74,3,0)</f>
        <v>69</v>
      </c>
      <c r="D2904" s="122" t="s">
        <v>393</v>
      </c>
      <c r="E2904" s="123">
        <v>46056</v>
      </c>
      <c r="F2904" s="121" t="s">
        <v>67</v>
      </c>
      <c r="G2904" s="121">
        <v>1989.8130239999998</v>
      </c>
      <c r="H2904" s="124">
        <v>1.9898130239999998</v>
      </c>
      <c r="I2904" s="38">
        <f>IF(H2904&gt;30,QUOTIENT(H2904,30)*VLOOKUP(D2904,'报价表-配送'!$B$84:$I$88,8,0),0)+IF(AND(MOD(H2904,30)&gt;18,MOD(H2904,30)&lt;=30),1,0)*VLOOKUP(D2904,'报价表-配送'!$B$84:$I$88,8,0)</f>
        <v>0</v>
      </c>
      <c r="J2904" s="38">
        <f>IF(AND(MOD(H2904,30)&gt;8,MOD(H2904,30)&lt;=18),1*VLOOKUP(D2904,'报价表-配送'!$B$84:$I$88,7,0),0)</f>
        <v>0</v>
      </c>
      <c r="K2904" s="38">
        <f>IF(AND(MOD(H2904,30)&lt;=8,MOD(H2904,30)&gt;0),1,0)*VLOOKUP(D2904,'报价表-配送'!$B$84:$I$88,6,0)</f>
        <v>0</v>
      </c>
      <c r="L2904" s="121"/>
      <c r="M2904" s="126"/>
      <c r="N2904" s="127">
        <f t="shared" ref="N2904:N2906" si="71">SUM(I2904:L2904)</f>
        <v>0</v>
      </c>
    </row>
    <row r="2905" spans="1:14" x14ac:dyDescent="0.25">
      <c r="A2905" s="121" t="s">
        <v>111</v>
      </c>
      <c r="B2905" s="121" t="s">
        <v>115</v>
      </c>
      <c r="C2905" s="62">
        <f>VLOOKUP(B2905,合并仓明细!$D$2:$F$74,3,0)</f>
        <v>69</v>
      </c>
      <c r="D2905" s="122" t="s">
        <v>393</v>
      </c>
      <c r="E2905" s="123">
        <v>46094</v>
      </c>
      <c r="F2905" s="121" t="s">
        <v>67</v>
      </c>
      <c r="G2905" s="121">
        <v>5796.6839919999993</v>
      </c>
      <c r="H2905" s="124">
        <v>5.7966839919999993</v>
      </c>
      <c r="I2905" s="38">
        <f>IF(H2905&gt;30,QUOTIENT(H2905,30)*VLOOKUP(D2905,'报价表-配送'!$B$84:$I$88,8,0),0)+IF(AND(MOD(H2905,30)&gt;18,MOD(H2905,30)&lt;=30),1,0)*VLOOKUP(D2905,'报价表-配送'!$B$84:$I$88,8,0)</f>
        <v>0</v>
      </c>
      <c r="J2905" s="38">
        <f>IF(AND(MOD(H2905,30)&gt;8,MOD(H2905,30)&lt;=18),1*VLOOKUP(D2905,'报价表-配送'!$B$84:$I$88,7,0),0)</f>
        <v>0</v>
      </c>
      <c r="K2905" s="38">
        <f>IF(AND(MOD(H2905,30)&lt;=8,MOD(H2905,30)&gt;0),1,0)*VLOOKUP(D2905,'报价表-配送'!$B$84:$I$88,6,0)</f>
        <v>0</v>
      </c>
      <c r="L2905" s="121"/>
      <c r="M2905" s="126"/>
      <c r="N2905" s="127">
        <f t="shared" si="71"/>
        <v>0</v>
      </c>
    </row>
    <row r="2906" spans="1:14" x14ac:dyDescent="0.25">
      <c r="A2906" s="121" t="s">
        <v>111</v>
      </c>
      <c r="B2906" s="121" t="s">
        <v>115</v>
      </c>
      <c r="C2906" s="62">
        <f>VLOOKUP(B2906,合并仓明细!$D$2:$F$74,3,0)</f>
        <v>69</v>
      </c>
      <c r="D2906" s="122" t="s">
        <v>393</v>
      </c>
      <c r="E2906" s="123">
        <v>46097</v>
      </c>
      <c r="F2906" s="121" t="s">
        <v>68</v>
      </c>
      <c r="G2906" s="121">
        <v>255.42959999999999</v>
      </c>
      <c r="H2906" s="124">
        <v>0.98131276000000001</v>
      </c>
      <c r="I2906" s="46">
        <f>ROUNDUP(H2906/30,0)*VLOOKUP(D2906,'报价表-配送'!$B$84:$I$88,8,0)</f>
        <v>0</v>
      </c>
      <c r="J2906" s="125"/>
      <c r="K2906" s="125"/>
      <c r="L2906" s="121"/>
      <c r="M2906" s="126"/>
      <c r="N2906" s="127">
        <f t="shared" si="71"/>
        <v>0</v>
      </c>
    </row>
    <row r="2907" spans="1:14" x14ac:dyDescent="0.25">
      <c r="A2907" s="121" t="s">
        <v>111</v>
      </c>
      <c r="B2907" s="121" t="s">
        <v>115</v>
      </c>
      <c r="C2907" s="62">
        <f>VLOOKUP(B2907,合并仓明细!$D$2:$F$74,3,0)</f>
        <v>69</v>
      </c>
      <c r="D2907" s="122" t="s">
        <v>393</v>
      </c>
      <c r="E2907" s="123">
        <v>46097</v>
      </c>
      <c r="F2907" s="121" t="s">
        <v>67</v>
      </c>
      <c r="G2907" s="121">
        <v>725.88315999999998</v>
      </c>
      <c r="H2907" s="124"/>
      <c r="I2907" s="125"/>
      <c r="J2907" s="125"/>
      <c r="K2907" s="125"/>
      <c r="L2907" s="121"/>
      <c r="M2907" s="126"/>
      <c r="N2907" s="121"/>
    </row>
    <row r="2908" spans="1:14" x14ac:dyDescent="0.25">
      <c r="A2908" s="121" t="s">
        <v>111</v>
      </c>
      <c r="B2908" s="121" t="s">
        <v>116</v>
      </c>
      <c r="C2908" s="62">
        <f>VLOOKUP(B2908,合并仓明细!$D$2:$F$74,3,0)</f>
        <v>216</v>
      </c>
      <c r="D2908" s="122" t="s">
        <v>414</v>
      </c>
      <c r="E2908" s="123">
        <v>45953</v>
      </c>
      <c r="F2908" s="121" t="s">
        <v>66</v>
      </c>
      <c r="G2908" s="121">
        <v>79.25</v>
      </c>
      <c r="H2908" s="124">
        <v>7.9250000000000001E-2</v>
      </c>
      <c r="I2908" s="125"/>
      <c r="J2908" s="125"/>
      <c r="K2908" s="125"/>
      <c r="L2908" s="37">
        <f>IF(H2908&gt;30,QUOTIENT(H2908,30)*VLOOKUP(D2908,'报价表-配送'!$B$84:$I$88,8,0),0)+IF(AND(MOD(H2908,30)&gt;18,MOD(H2908,30)&lt;=30),1,0)*VLOOKUP(D2908,'报价表-配送'!$B$84:$I$88,8,0)+IF(AND(MOD(H2908,30)&gt;8,MOD(H2908,30)&lt;=18),1*VLOOKUP(D2908,'报价表-配送'!$B$84:$I$88,7,0),0)+IF(AND(MOD(H2908,30)&lt;=8,MOD(H2908,30)&gt;2.5),1,0)*VLOOKUP(D2908,'报价表-配送'!$B$84:$I$88,6,0)+IF(AND(MOD(H2908,30)&lt;=2.5,MOD(H2908,30)&gt;=1.5),1,0)*VLOOKUP(D2908,'报价表-配送'!$B$84:$I$88,5,0)</f>
        <v>0</v>
      </c>
      <c r="M2908" s="39">
        <f>IF(AND(MOD(H2908,30)&lt;1.5,MOD(H2908,30)&gt;=0.5),H2908,0)*VLOOKUP(D2908,'报价表-配送'!$B$84:$I$88,4,0)*1000+IF(AND(MOD(H2908,30)&lt;0.5,MOD(H2908,30)&gt;=0.02),H2908,0)*VLOOKUP(D2908,'报价表-配送'!$B$84:$I$88,3,0)*1000+IF(AND(MOD(H2908,30)&lt;0.02),H2908,0)*VLOOKUP(D2908,'报价表-配送'!$B$84:$I$88,2,0)*1000</f>
        <v>0</v>
      </c>
      <c r="N2908" s="127">
        <f t="shared" ref="N2908:N2909" si="72">SUM(I2908:L2908)</f>
        <v>0</v>
      </c>
    </row>
    <row r="2909" spans="1:14" x14ac:dyDescent="0.25">
      <c r="A2909" s="121" t="s">
        <v>111</v>
      </c>
      <c r="B2909" s="121" t="s">
        <v>116</v>
      </c>
      <c r="C2909" s="62">
        <f>VLOOKUP(B2909,合并仓明细!$D$2:$F$74,3,0)</f>
        <v>216</v>
      </c>
      <c r="D2909" s="122" t="s">
        <v>414</v>
      </c>
      <c r="E2909" s="123">
        <v>45979</v>
      </c>
      <c r="F2909" s="121" t="s">
        <v>67</v>
      </c>
      <c r="G2909" s="121">
        <v>12809.511984000001</v>
      </c>
      <c r="H2909" s="124">
        <v>12.9190953173</v>
      </c>
      <c r="I2909" s="38">
        <f>IF(H2909&gt;30,QUOTIENT(H2909,30)*VLOOKUP(D2909,'报价表-配送'!$B$84:$I$88,8,0),0)+IF(AND(MOD(H2909,30)&gt;18,MOD(H2909,30)&lt;=30),1,0)*VLOOKUP(D2909,'报价表-配送'!$B$84:$I$88,8,0)</f>
        <v>0</v>
      </c>
      <c r="J2909" s="38">
        <f>IF(AND(MOD(H2909,30)&gt;8,MOD(H2909,30)&lt;=18),1*VLOOKUP(D2909,'报价表-配送'!$B$84:$I$88,7,0),0)</f>
        <v>0</v>
      </c>
      <c r="K2909" s="38">
        <f>IF(AND(MOD(H2909,30)&lt;=8,MOD(H2909,30)&gt;0),1,0)*VLOOKUP(D2909,'报价表-配送'!$B$84:$I$88,6,0)</f>
        <v>0</v>
      </c>
      <c r="L2909" s="121"/>
      <c r="M2909" s="126"/>
      <c r="N2909" s="127">
        <f t="shared" si="72"/>
        <v>0</v>
      </c>
    </row>
    <row r="2910" spans="1:14" x14ac:dyDescent="0.25">
      <c r="A2910" s="121" t="s">
        <v>111</v>
      </c>
      <c r="B2910" s="121" t="s">
        <v>116</v>
      </c>
      <c r="C2910" s="62">
        <f>VLOOKUP(B2910,合并仓明细!$D$2:$F$74,3,0)</f>
        <v>216</v>
      </c>
      <c r="D2910" s="122" t="s">
        <v>414</v>
      </c>
      <c r="E2910" s="123">
        <v>45979</v>
      </c>
      <c r="F2910" s="121" t="s">
        <v>66</v>
      </c>
      <c r="G2910" s="121">
        <v>109.58333329999999</v>
      </c>
      <c r="H2910" s="124"/>
      <c r="I2910" s="125"/>
      <c r="J2910" s="125"/>
      <c r="K2910" s="125"/>
      <c r="L2910" s="121"/>
      <c r="M2910" s="126"/>
      <c r="N2910" s="121"/>
    </row>
    <row r="2911" spans="1:14" x14ac:dyDescent="0.25">
      <c r="A2911" s="121" t="s">
        <v>111</v>
      </c>
      <c r="B2911" s="121" t="s">
        <v>116</v>
      </c>
      <c r="C2911" s="62">
        <f>VLOOKUP(B2911,合并仓明细!$D$2:$F$74,3,0)</f>
        <v>216</v>
      </c>
      <c r="D2911" s="122" t="s">
        <v>414</v>
      </c>
      <c r="E2911" s="123">
        <v>46036</v>
      </c>
      <c r="F2911" s="121" t="s">
        <v>67</v>
      </c>
      <c r="G2911" s="121">
        <v>14263.643544</v>
      </c>
      <c r="H2911" s="124">
        <v>14.745143544000001</v>
      </c>
      <c r="I2911" s="38">
        <f>IF(H2911&gt;30,QUOTIENT(H2911,30)*VLOOKUP(D2911,'报价表-配送'!$B$84:$I$88,8,0),0)+IF(AND(MOD(H2911,30)&gt;18,MOD(H2911,30)&lt;=30),1,0)*VLOOKUP(D2911,'报价表-配送'!$B$84:$I$88,8,0)</f>
        <v>0</v>
      </c>
      <c r="J2911" s="38">
        <f>IF(AND(MOD(H2911,30)&gt;8,MOD(H2911,30)&lt;=18),1*VLOOKUP(D2911,'报价表-配送'!$B$84:$I$88,7,0),0)</f>
        <v>0</v>
      </c>
      <c r="K2911" s="38">
        <f>IF(AND(MOD(H2911,30)&lt;=8,MOD(H2911,30)&gt;0),1,0)*VLOOKUP(D2911,'报价表-配送'!$B$84:$I$88,6,0)</f>
        <v>0</v>
      </c>
      <c r="L2911" s="121"/>
      <c r="M2911" s="126"/>
      <c r="N2911" s="127">
        <f t="shared" ref="N2911" si="73">SUM(I2911:L2911)</f>
        <v>0</v>
      </c>
    </row>
    <row r="2912" spans="1:14" x14ac:dyDescent="0.25">
      <c r="A2912" s="121" t="s">
        <v>111</v>
      </c>
      <c r="B2912" s="121" t="s">
        <v>116</v>
      </c>
      <c r="C2912" s="62">
        <f>VLOOKUP(B2912,合并仓明细!$D$2:$F$74,3,0)</f>
        <v>216</v>
      </c>
      <c r="D2912" s="122" t="s">
        <v>414</v>
      </c>
      <c r="E2912" s="123">
        <v>46036</v>
      </c>
      <c r="F2912" s="121" t="s">
        <v>66</v>
      </c>
      <c r="G2912" s="121">
        <v>481.5</v>
      </c>
      <c r="H2912" s="124"/>
      <c r="I2912" s="125"/>
      <c r="J2912" s="125"/>
      <c r="K2912" s="125"/>
      <c r="L2912" s="121"/>
      <c r="M2912" s="126"/>
      <c r="N2912" s="121"/>
    </row>
    <row r="2913" spans="1:14" x14ac:dyDescent="0.25">
      <c r="A2913" s="121" t="s">
        <v>111</v>
      </c>
      <c r="B2913" s="121" t="s">
        <v>116</v>
      </c>
      <c r="C2913" s="62">
        <f>VLOOKUP(B2913,合并仓明细!$D$2:$F$74,3,0)</f>
        <v>216</v>
      </c>
      <c r="D2913" s="122" t="s">
        <v>414</v>
      </c>
      <c r="E2913" s="123">
        <v>46056</v>
      </c>
      <c r="F2913" s="121" t="s">
        <v>67</v>
      </c>
      <c r="G2913" s="121">
        <v>15565.540872</v>
      </c>
      <c r="H2913" s="124">
        <v>15.960540871999999</v>
      </c>
      <c r="I2913" s="38">
        <f>IF(H2913&gt;30,QUOTIENT(H2913,30)*VLOOKUP(D2913,'报价表-配送'!$B$84:$I$88,8,0),0)+IF(AND(MOD(H2913,30)&gt;18,MOD(H2913,30)&lt;=30),1,0)*VLOOKUP(D2913,'报价表-配送'!$B$84:$I$88,8,0)</f>
        <v>0</v>
      </c>
      <c r="J2913" s="38">
        <f>IF(AND(MOD(H2913,30)&gt;8,MOD(H2913,30)&lt;=18),1*VLOOKUP(D2913,'报价表-配送'!$B$84:$I$88,7,0),0)</f>
        <v>0</v>
      </c>
      <c r="K2913" s="38">
        <f>IF(AND(MOD(H2913,30)&lt;=8,MOD(H2913,30)&gt;0),1,0)*VLOOKUP(D2913,'报价表-配送'!$B$84:$I$88,6,0)</f>
        <v>0</v>
      </c>
      <c r="L2913" s="121"/>
      <c r="M2913" s="126"/>
      <c r="N2913" s="127">
        <f t="shared" ref="N2913" si="74">SUM(I2913:L2913)</f>
        <v>0</v>
      </c>
    </row>
    <row r="2914" spans="1:14" x14ac:dyDescent="0.25">
      <c r="A2914" s="121" t="s">
        <v>111</v>
      </c>
      <c r="B2914" s="121" t="s">
        <v>116</v>
      </c>
      <c r="C2914" s="62">
        <f>VLOOKUP(B2914,合并仓明细!$D$2:$F$74,3,0)</f>
        <v>216</v>
      </c>
      <c r="D2914" s="122" t="s">
        <v>414</v>
      </c>
      <c r="E2914" s="123">
        <v>46056</v>
      </c>
      <c r="F2914" s="121" t="s">
        <v>66</v>
      </c>
      <c r="G2914" s="121">
        <v>395</v>
      </c>
      <c r="H2914" s="124"/>
      <c r="I2914" s="125"/>
      <c r="J2914" s="125"/>
      <c r="K2914" s="125"/>
      <c r="L2914" s="121"/>
      <c r="M2914" s="126"/>
      <c r="N2914" s="121"/>
    </row>
    <row r="2915" spans="1:14" x14ac:dyDescent="0.25">
      <c r="A2915" s="121" t="s">
        <v>111</v>
      </c>
      <c r="B2915" s="121" t="s">
        <v>117</v>
      </c>
      <c r="C2915" s="62">
        <f>VLOOKUP(B2915,合并仓明细!$D$2:$F$74,3,0)</f>
        <v>92</v>
      </c>
      <c r="D2915" s="122" t="s">
        <v>393</v>
      </c>
      <c r="E2915" s="123">
        <v>45939</v>
      </c>
      <c r="F2915" s="121" t="s">
        <v>66</v>
      </c>
      <c r="G2915" s="121">
        <v>290.2</v>
      </c>
      <c r="H2915" s="124">
        <v>0.29020000000000001</v>
      </c>
      <c r="I2915" s="125"/>
      <c r="J2915" s="125"/>
      <c r="K2915" s="125"/>
      <c r="L2915" s="37">
        <f>IF(H2915&gt;30,QUOTIENT(H2915,30)*VLOOKUP(D2915,'报价表-配送'!$B$84:$I$88,8,0),0)+IF(AND(MOD(H2915,30)&gt;18,MOD(H2915,30)&lt;=30),1,0)*VLOOKUP(D2915,'报价表-配送'!$B$84:$I$88,8,0)+IF(AND(MOD(H2915,30)&gt;8,MOD(H2915,30)&lt;=18),1*VLOOKUP(D2915,'报价表-配送'!$B$84:$I$88,7,0),0)+IF(AND(MOD(H2915,30)&lt;=8,MOD(H2915,30)&gt;2.5),1,0)*VLOOKUP(D2915,'报价表-配送'!$B$84:$I$88,6,0)+IF(AND(MOD(H2915,30)&lt;=2.5,MOD(H2915,30)&gt;=1.5),1,0)*VLOOKUP(D2915,'报价表-配送'!$B$84:$I$88,5,0)</f>
        <v>0</v>
      </c>
      <c r="M2915" s="39">
        <f>IF(AND(MOD(H2915,30)&lt;1.5,MOD(H2915,30)&gt;=0.5),H2915,0)*VLOOKUP(D2915,'报价表-配送'!$B$84:$I$88,4,0)*1000+IF(AND(MOD(H2915,30)&lt;0.5,MOD(H2915,30)&gt;=0.02),H2915,0)*VLOOKUP(D2915,'报价表-配送'!$B$84:$I$88,3,0)*1000+IF(AND(MOD(H2915,30)&lt;0.02),H2915,0)*VLOOKUP(D2915,'报价表-配送'!$B$84:$I$88,2,0)*1000</f>
        <v>0</v>
      </c>
      <c r="N2915" s="127">
        <f t="shared" ref="N2915:N2919" si="75">SUM(I2915:L2915)</f>
        <v>0</v>
      </c>
    </row>
    <row r="2916" spans="1:14" x14ac:dyDescent="0.25">
      <c r="A2916" s="121" t="s">
        <v>111</v>
      </c>
      <c r="B2916" s="121" t="s">
        <v>117</v>
      </c>
      <c r="C2916" s="62">
        <f>VLOOKUP(B2916,合并仓明细!$D$2:$F$74,3,0)</f>
        <v>92</v>
      </c>
      <c r="D2916" s="122" t="s">
        <v>393</v>
      </c>
      <c r="E2916" s="123">
        <v>45958</v>
      </c>
      <c r="F2916" s="121" t="s">
        <v>66</v>
      </c>
      <c r="G2916" s="121">
        <v>487.48666649999996</v>
      </c>
      <c r="H2916" s="124">
        <v>0.48748666649999994</v>
      </c>
      <c r="I2916" s="125"/>
      <c r="J2916" s="125"/>
      <c r="K2916" s="125"/>
      <c r="L2916" s="37">
        <f>IF(H2916&gt;30,QUOTIENT(H2916,30)*VLOOKUP(D2916,'报价表-配送'!$B$84:$I$88,8,0),0)+IF(AND(MOD(H2916,30)&gt;18,MOD(H2916,30)&lt;=30),1,0)*VLOOKUP(D2916,'报价表-配送'!$B$84:$I$88,8,0)+IF(AND(MOD(H2916,30)&gt;8,MOD(H2916,30)&lt;=18),1*VLOOKUP(D2916,'报价表-配送'!$B$84:$I$88,7,0),0)+IF(AND(MOD(H2916,30)&lt;=8,MOD(H2916,30)&gt;2.5),1,0)*VLOOKUP(D2916,'报价表-配送'!$B$84:$I$88,6,0)+IF(AND(MOD(H2916,30)&lt;=2.5,MOD(H2916,30)&gt;=1.5),1,0)*VLOOKUP(D2916,'报价表-配送'!$B$84:$I$88,5,0)</f>
        <v>0</v>
      </c>
      <c r="M2916" s="39">
        <f>IF(AND(MOD(H2916,30)&lt;1.5,MOD(H2916,30)&gt;=0.5),H2916,0)*VLOOKUP(D2916,'报价表-配送'!$B$84:$I$88,4,0)*1000+IF(AND(MOD(H2916,30)&lt;0.5,MOD(H2916,30)&gt;=0.02),H2916,0)*VLOOKUP(D2916,'报价表-配送'!$B$84:$I$88,3,0)*1000+IF(AND(MOD(H2916,30)&lt;0.02),H2916,0)*VLOOKUP(D2916,'报价表-配送'!$B$84:$I$88,2,0)*1000</f>
        <v>0</v>
      </c>
      <c r="N2916" s="127">
        <f t="shared" si="75"/>
        <v>0</v>
      </c>
    </row>
    <row r="2917" spans="1:14" x14ac:dyDescent="0.25">
      <c r="A2917" s="121" t="s">
        <v>111</v>
      </c>
      <c r="B2917" s="121" t="s">
        <v>117</v>
      </c>
      <c r="C2917" s="62">
        <f>VLOOKUP(B2917,合并仓明细!$D$2:$F$74,3,0)</f>
        <v>92</v>
      </c>
      <c r="D2917" s="122" t="s">
        <v>393</v>
      </c>
      <c r="E2917" s="123">
        <v>45965</v>
      </c>
      <c r="F2917" s="121" t="s">
        <v>66</v>
      </c>
      <c r="G2917" s="121">
        <v>931.76099999999963</v>
      </c>
      <c r="H2917" s="124">
        <v>0.93176099999999962</v>
      </c>
      <c r="I2917" s="125"/>
      <c r="J2917" s="125"/>
      <c r="K2917" s="125"/>
      <c r="L2917" s="37">
        <f>IF(H2917&gt;30,QUOTIENT(H2917,30)*VLOOKUP(D2917,'报价表-配送'!$B$84:$I$88,8,0),0)+IF(AND(MOD(H2917,30)&gt;18,MOD(H2917,30)&lt;=30),1,0)*VLOOKUP(D2917,'报价表-配送'!$B$84:$I$88,8,0)+IF(AND(MOD(H2917,30)&gt;8,MOD(H2917,30)&lt;=18),1*VLOOKUP(D2917,'报价表-配送'!$B$84:$I$88,7,0),0)+IF(AND(MOD(H2917,30)&lt;=8,MOD(H2917,30)&gt;2.5),1,0)*VLOOKUP(D2917,'报价表-配送'!$B$84:$I$88,6,0)+IF(AND(MOD(H2917,30)&lt;=2.5,MOD(H2917,30)&gt;=1.5),1,0)*VLOOKUP(D2917,'报价表-配送'!$B$84:$I$88,5,0)</f>
        <v>0</v>
      </c>
      <c r="M2917" s="39">
        <f>IF(AND(MOD(H2917,30)&lt;1.5,MOD(H2917,30)&gt;=0.5),H2917,0)*VLOOKUP(D2917,'报价表-配送'!$B$84:$I$88,4,0)*1000+IF(AND(MOD(H2917,30)&lt;0.5,MOD(H2917,30)&gt;=0.02),H2917,0)*VLOOKUP(D2917,'报价表-配送'!$B$84:$I$88,3,0)*1000+IF(AND(MOD(H2917,30)&lt;0.02),H2917,0)*VLOOKUP(D2917,'报价表-配送'!$B$84:$I$88,2,0)*1000</f>
        <v>0</v>
      </c>
      <c r="N2917" s="127">
        <f t="shared" si="75"/>
        <v>0</v>
      </c>
    </row>
    <row r="2918" spans="1:14" x14ac:dyDescent="0.25">
      <c r="A2918" s="121" t="s">
        <v>111</v>
      </c>
      <c r="B2918" s="121" t="s">
        <v>117</v>
      </c>
      <c r="C2918" s="62">
        <f>VLOOKUP(B2918,合并仓明细!$D$2:$F$74,3,0)</f>
        <v>92</v>
      </c>
      <c r="D2918" s="122" t="s">
        <v>393</v>
      </c>
      <c r="E2918" s="123">
        <v>45988</v>
      </c>
      <c r="F2918" s="121" t="s">
        <v>66</v>
      </c>
      <c r="G2918" s="121">
        <v>274.99999500000001</v>
      </c>
      <c r="H2918" s="124">
        <v>0.274999995</v>
      </c>
      <c r="I2918" s="125"/>
      <c r="J2918" s="125"/>
      <c r="K2918" s="125"/>
      <c r="L2918" s="37">
        <f>IF(H2918&gt;30,QUOTIENT(H2918,30)*VLOOKUP(D2918,'报价表-配送'!$B$84:$I$88,8,0),0)+IF(AND(MOD(H2918,30)&gt;18,MOD(H2918,30)&lt;=30),1,0)*VLOOKUP(D2918,'报价表-配送'!$B$84:$I$88,8,0)+IF(AND(MOD(H2918,30)&gt;8,MOD(H2918,30)&lt;=18),1*VLOOKUP(D2918,'报价表-配送'!$B$84:$I$88,7,0),0)+IF(AND(MOD(H2918,30)&lt;=8,MOD(H2918,30)&gt;2.5),1,0)*VLOOKUP(D2918,'报价表-配送'!$B$84:$I$88,6,0)+IF(AND(MOD(H2918,30)&lt;=2.5,MOD(H2918,30)&gt;=1.5),1,0)*VLOOKUP(D2918,'报价表-配送'!$B$84:$I$88,5,0)</f>
        <v>0</v>
      </c>
      <c r="M2918" s="39">
        <f>IF(AND(MOD(H2918,30)&lt;1.5,MOD(H2918,30)&gt;=0.5),H2918,0)*VLOOKUP(D2918,'报价表-配送'!$B$84:$I$88,4,0)*1000+IF(AND(MOD(H2918,30)&lt;0.5,MOD(H2918,30)&gt;=0.02),H2918,0)*VLOOKUP(D2918,'报价表-配送'!$B$84:$I$88,3,0)*1000+IF(AND(MOD(H2918,30)&lt;0.02),H2918,0)*VLOOKUP(D2918,'报价表-配送'!$B$84:$I$88,2,0)*1000</f>
        <v>0</v>
      </c>
      <c r="N2918" s="127">
        <f t="shared" si="75"/>
        <v>0</v>
      </c>
    </row>
    <row r="2919" spans="1:14" x14ac:dyDescent="0.25">
      <c r="A2919" s="121" t="s">
        <v>111</v>
      </c>
      <c r="B2919" s="121" t="s">
        <v>117</v>
      </c>
      <c r="C2919" s="62">
        <f>VLOOKUP(B2919,合并仓明细!$D$2:$F$74,3,0)</f>
        <v>92</v>
      </c>
      <c r="D2919" s="122" t="s">
        <v>393</v>
      </c>
      <c r="E2919" s="123">
        <v>46001</v>
      </c>
      <c r="F2919" s="121" t="s">
        <v>67</v>
      </c>
      <c r="G2919" s="121">
        <v>6237.5514000000003</v>
      </c>
      <c r="H2919" s="124">
        <v>6.4904414000000008</v>
      </c>
      <c r="I2919" s="38">
        <f>IF(H2919&gt;30,QUOTIENT(H2919,30)*VLOOKUP(D2919,'报价表-配送'!$B$84:$I$88,8,0),0)+IF(AND(MOD(H2919,30)&gt;18,MOD(H2919,30)&lt;=30),1,0)*VLOOKUP(D2919,'报价表-配送'!$B$84:$I$88,8,0)</f>
        <v>0</v>
      </c>
      <c r="J2919" s="38">
        <f>IF(AND(MOD(H2919,30)&gt;8,MOD(H2919,30)&lt;=18),1*VLOOKUP(D2919,'报价表-配送'!$B$84:$I$88,7,0),0)</f>
        <v>0</v>
      </c>
      <c r="K2919" s="38">
        <f>IF(AND(MOD(H2919,30)&lt;=8,MOD(H2919,30)&gt;0),1,0)*VLOOKUP(D2919,'报价表-配送'!$B$84:$I$88,6,0)</f>
        <v>0</v>
      </c>
      <c r="L2919" s="121"/>
      <c r="M2919" s="126"/>
      <c r="N2919" s="127">
        <f t="shared" si="75"/>
        <v>0</v>
      </c>
    </row>
    <row r="2920" spans="1:14" x14ac:dyDescent="0.25">
      <c r="A2920" s="121" t="s">
        <v>111</v>
      </c>
      <c r="B2920" s="121" t="s">
        <v>117</v>
      </c>
      <c r="C2920" s="62">
        <f>VLOOKUP(B2920,合并仓明细!$D$2:$F$74,3,0)</f>
        <v>92</v>
      </c>
      <c r="D2920" s="122" t="s">
        <v>393</v>
      </c>
      <c r="E2920" s="123">
        <v>46001</v>
      </c>
      <c r="F2920" s="121" t="s">
        <v>66</v>
      </c>
      <c r="G2920" s="121">
        <v>252.89</v>
      </c>
      <c r="H2920" s="124"/>
      <c r="I2920" s="125"/>
      <c r="J2920" s="125"/>
      <c r="K2920" s="125"/>
      <c r="L2920" s="121"/>
      <c r="M2920" s="126"/>
      <c r="N2920" s="121"/>
    </row>
    <row r="2921" spans="1:14" x14ac:dyDescent="0.25">
      <c r="A2921" s="121" t="s">
        <v>111</v>
      </c>
      <c r="B2921" s="121" t="s">
        <v>117</v>
      </c>
      <c r="C2921" s="62">
        <f>VLOOKUP(B2921,合并仓明细!$D$2:$F$74,3,0)</f>
        <v>92</v>
      </c>
      <c r="D2921" s="122" t="s">
        <v>393</v>
      </c>
      <c r="E2921" s="123">
        <v>46049</v>
      </c>
      <c r="F2921" s="121" t="s">
        <v>67</v>
      </c>
      <c r="G2921" s="121">
        <v>9479.6143019999981</v>
      </c>
      <c r="H2921" s="124">
        <v>9.5553143019999993</v>
      </c>
      <c r="I2921" s="38">
        <f>IF(H2921&gt;30,QUOTIENT(H2921,30)*VLOOKUP(D2921,'报价表-配送'!$B$84:$I$88,8,0),0)+IF(AND(MOD(H2921,30)&gt;18,MOD(H2921,30)&lt;=30),1,0)*VLOOKUP(D2921,'报价表-配送'!$B$84:$I$88,8,0)</f>
        <v>0</v>
      </c>
      <c r="J2921" s="38">
        <f>IF(AND(MOD(H2921,30)&gt;8,MOD(H2921,30)&lt;=18),1*VLOOKUP(D2921,'报价表-配送'!$B$84:$I$88,7,0),0)</f>
        <v>0</v>
      </c>
      <c r="K2921" s="38">
        <f>IF(AND(MOD(H2921,30)&lt;=8,MOD(H2921,30)&gt;0),1,0)*VLOOKUP(D2921,'报价表-配送'!$B$84:$I$88,6,0)</f>
        <v>0</v>
      </c>
      <c r="L2921" s="121"/>
      <c r="M2921" s="126"/>
      <c r="N2921" s="127">
        <f t="shared" ref="N2921" si="76">SUM(I2921:L2921)</f>
        <v>0</v>
      </c>
    </row>
    <row r="2922" spans="1:14" x14ac:dyDescent="0.25">
      <c r="A2922" s="121" t="s">
        <v>111</v>
      </c>
      <c r="B2922" s="121" t="s">
        <v>117</v>
      </c>
      <c r="C2922" s="62">
        <f>VLOOKUP(B2922,合并仓明细!$D$2:$F$74,3,0)</f>
        <v>92</v>
      </c>
      <c r="D2922" s="122" t="s">
        <v>393</v>
      </c>
      <c r="E2922" s="123">
        <v>46049</v>
      </c>
      <c r="F2922" s="121" t="s">
        <v>66</v>
      </c>
      <c r="G2922" s="121">
        <v>75.699999999999989</v>
      </c>
      <c r="H2922" s="124"/>
      <c r="I2922" s="125"/>
      <c r="J2922" s="125"/>
      <c r="K2922" s="125"/>
      <c r="L2922" s="121"/>
      <c r="M2922" s="126"/>
      <c r="N2922" s="121"/>
    </row>
    <row r="2923" spans="1:14" x14ac:dyDescent="0.25">
      <c r="A2923" s="121" t="s">
        <v>111</v>
      </c>
      <c r="B2923" s="121" t="s">
        <v>117</v>
      </c>
      <c r="C2923" s="62">
        <f>VLOOKUP(B2923,合并仓明细!$D$2:$F$74,3,0)</f>
        <v>92</v>
      </c>
      <c r="D2923" s="122" t="s">
        <v>393</v>
      </c>
      <c r="E2923" s="123">
        <v>46086</v>
      </c>
      <c r="F2923" s="121" t="s">
        <v>66</v>
      </c>
      <c r="G2923" s="121">
        <v>36.000100000000003</v>
      </c>
      <c r="H2923" s="124">
        <v>3.60001E-2</v>
      </c>
      <c r="I2923" s="125"/>
      <c r="J2923" s="125"/>
      <c r="K2923" s="125"/>
      <c r="L2923" s="37">
        <f>IF(H2923&gt;30,QUOTIENT(H2923,30)*VLOOKUP(D2923,'报价表-配送'!$B$84:$I$88,8,0),0)+IF(AND(MOD(H2923,30)&gt;18,MOD(H2923,30)&lt;=30),1,0)*VLOOKUP(D2923,'报价表-配送'!$B$84:$I$88,8,0)+IF(AND(MOD(H2923,30)&gt;8,MOD(H2923,30)&lt;=18),1*VLOOKUP(D2923,'报价表-配送'!$B$84:$I$88,7,0),0)+IF(AND(MOD(H2923,30)&lt;=8,MOD(H2923,30)&gt;2.5),1,0)*VLOOKUP(D2923,'报价表-配送'!$B$84:$I$88,6,0)+IF(AND(MOD(H2923,30)&lt;=2.5,MOD(H2923,30)&gt;=1.5),1,0)*VLOOKUP(D2923,'报价表-配送'!$B$84:$I$88,5,0)</f>
        <v>0</v>
      </c>
      <c r="M2923" s="39">
        <f>IF(AND(MOD(H2923,30)&lt;1.5,MOD(H2923,30)&gt;=0.5),H2923,0)*VLOOKUP(D2923,'报价表-配送'!$B$84:$I$88,4,0)*1000+IF(AND(MOD(H2923,30)&lt;0.5,MOD(H2923,30)&gt;=0.02),H2923,0)*VLOOKUP(D2923,'报价表-配送'!$B$84:$I$88,3,0)*1000+IF(AND(MOD(H2923,30)&lt;0.02),H2923,0)*VLOOKUP(D2923,'报价表-配送'!$B$84:$I$88,2,0)*1000</f>
        <v>0</v>
      </c>
      <c r="N2923" s="127">
        <f t="shared" ref="N2923:N2924" si="77">SUM(I2923:L2923)</f>
        <v>0</v>
      </c>
    </row>
    <row r="2924" spans="1:14" x14ac:dyDescent="0.25">
      <c r="A2924" s="121" t="s">
        <v>111</v>
      </c>
      <c r="B2924" s="121" t="s">
        <v>117</v>
      </c>
      <c r="C2924" s="62">
        <f>VLOOKUP(B2924,合并仓明细!$D$2:$F$74,3,0)</f>
        <v>92</v>
      </c>
      <c r="D2924" s="122" t="s">
        <v>393</v>
      </c>
      <c r="E2924" s="123">
        <v>46105</v>
      </c>
      <c r="F2924" s="121" t="s">
        <v>67</v>
      </c>
      <c r="G2924" s="121">
        <v>8.3699999999999992</v>
      </c>
      <c r="H2924" s="124">
        <v>9.0599999999999986E-3</v>
      </c>
      <c r="I2924" s="38">
        <f>IF(H2924&gt;30,QUOTIENT(H2924,30)*VLOOKUP(D2924,'报价表-配送'!$B$84:$I$88,8,0),0)+IF(AND(MOD(H2924,30)&gt;18,MOD(H2924,30)&lt;=30),1,0)*VLOOKUP(D2924,'报价表-配送'!$B$84:$I$88,8,0)</f>
        <v>0</v>
      </c>
      <c r="J2924" s="38">
        <f>IF(AND(MOD(H2924,30)&gt;8,MOD(H2924,30)&lt;=18),1*VLOOKUP(D2924,'报价表-配送'!$B$84:$I$88,7,0),0)</f>
        <v>0</v>
      </c>
      <c r="K2924" s="38">
        <f>IF(AND(MOD(H2924,30)&lt;=8,MOD(H2924,30)&gt;0),1,0)*VLOOKUP(D2924,'报价表-配送'!$B$84:$I$88,6,0)</f>
        <v>0</v>
      </c>
      <c r="L2924" s="121"/>
      <c r="M2924" s="126"/>
      <c r="N2924" s="127">
        <f t="shared" si="77"/>
        <v>0</v>
      </c>
    </row>
    <row r="2925" spans="1:14" x14ac:dyDescent="0.25">
      <c r="A2925" s="121" t="s">
        <v>111</v>
      </c>
      <c r="B2925" s="121" t="s">
        <v>117</v>
      </c>
      <c r="C2925" s="62">
        <f>VLOOKUP(B2925,合并仓明细!$D$2:$F$74,3,0)</f>
        <v>92</v>
      </c>
      <c r="D2925" s="122" t="s">
        <v>393</v>
      </c>
      <c r="E2925" s="123">
        <v>46105</v>
      </c>
      <c r="F2925" s="121" t="s">
        <v>66</v>
      </c>
      <c r="G2925" s="121">
        <v>0.69</v>
      </c>
      <c r="H2925" s="124"/>
      <c r="I2925" s="125"/>
      <c r="J2925" s="125"/>
      <c r="K2925" s="125"/>
      <c r="L2925" s="121"/>
      <c r="M2925" s="126"/>
      <c r="N2925" s="121"/>
    </row>
    <row r="2926" spans="1:14" x14ac:dyDescent="0.25">
      <c r="A2926" s="121" t="s">
        <v>111</v>
      </c>
      <c r="B2926" s="121" t="s">
        <v>118</v>
      </c>
      <c r="C2926" s="62">
        <f>VLOOKUP(B2926,合并仓明细!$D$2:$F$74,3,0)</f>
        <v>121</v>
      </c>
      <c r="D2926" s="122" t="s">
        <v>413</v>
      </c>
      <c r="E2926" s="123">
        <v>45944</v>
      </c>
      <c r="F2926" s="121" t="s">
        <v>67</v>
      </c>
      <c r="G2926" s="121">
        <v>3218.016928</v>
      </c>
      <c r="H2926" s="124">
        <v>3.44216859466</v>
      </c>
      <c r="I2926" s="38">
        <f>IF(H2926&gt;30,QUOTIENT(H2926,30)*VLOOKUP(D2926,'报价表-配送'!$B$84:$I$88,8,0),0)+IF(AND(MOD(H2926,30)&gt;18,MOD(H2926,30)&lt;=30),1,0)*VLOOKUP(D2926,'报价表-配送'!$B$84:$I$88,8,0)</f>
        <v>0</v>
      </c>
      <c r="J2926" s="38">
        <f>IF(AND(MOD(H2926,30)&gt;8,MOD(H2926,30)&lt;=18),1*VLOOKUP(D2926,'报价表-配送'!$B$84:$I$88,7,0),0)</f>
        <v>0</v>
      </c>
      <c r="K2926" s="38">
        <f>IF(AND(MOD(H2926,30)&lt;=8,MOD(H2926,30)&gt;0),1,0)*VLOOKUP(D2926,'报价表-配送'!$B$84:$I$88,6,0)</f>
        <v>0</v>
      </c>
      <c r="L2926" s="121"/>
      <c r="M2926" s="126"/>
      <c r="N2926" s="127">
        <f t="shared" ref="N2926" si="78">SUM(I2926:L2926)</f>
        <v>0</v>
      </c>
    </row>
    <row r="2927" spans="1:14" x14ac:dyDescent="0.25">
      <c r="A2927" s="121" t="s">
        <v>111</v>
      </c>
      <c r="B2927" s="121" t="s">
        <v>118</v>
      </c>
      <c r="C2927" s="62">
        <f>VLOOKUP(B2927,合并仓明细!$D$2:$F$74,3,0)</f>
        <v>121</v>
      </c>
      <c r="D2927" s="122" t="s">
        <v>413</v>
      </c>
      <c r="E2927" s="123">
        <v>45944</v>
      </c>
      <c r="F2927" s="121" t="s">
        <v>66</v>
      </c>
      <c r="G2927" s="121">
        <v>224.15166665999999</v>
      </c>
      <c r="H2927" s="124"/>
      <c r="I2927" s="125"/>
      <c r="J2927" s="125"/>
      <c r="K2927" s="125"/>
      <c r="L2927" s="121"/>
      <c r="M2927" s="126"/>
      <c r="N2927" s="121"/>
    </row>
    <row r="2928" spans="1:14" x14ac:dyDescent="0.25">
      <c r="A2928" s="121" t="s">
        <v>111</v>
      </c>
      <c r="B2928" s="121" t="s">
        <v>118</v>
      </c>
      <c r="C2928" s="62">
        <f>VLOOKUP(B2928,合并仓明细!$D$2:$F$74,3,0)</f>
        <v>121</v>
      </c>
      <c r="D2928" s="122" t="s">
        <v>413</v>
      </c>
      <c r="E2928" s="123">
        <v>45951</v>
      </c>
      <c r="F2928" s="121" t="s">
        <v>66</v>
      </c>
      <c r="G2928" s="121">
        <v>163.6</v>
      </c>
      <c r="H2928" s="124">
        <v>0.1636</v>
      </c>
      <c r="I2928" s="125"/>
      <c r="J2928" s="125"/>
      <c r="K2928" s="125"/>
      <c r="L2928" s="37">
        <f>IF(H2928&gt;30,QUOTIENT(H2928,30)*VLOOKUP(D2928,'报价表-配送'!$B$84:$I$88,8,0),0)+IF(AND(MOD(H2928,30)&gt;18,MOD(H2928,30)&lt;=30),1,0)*VLOOKUP(D2928,'报价表-配送'!$B$84:$I$88,8,0)+IF(AND(MOD(H2928,30)&gt;8,MOD(H2928,30)&lt;=18),1*VLOOKUP(D2928,'报价表-配送'!$B$84:$I$88,7,0),0)+IF(AND(MOD(H2928,30)&lt;=8,MOD(H2928,30)&gt;2.5),1,0)*VLOOKUP(D2928,'报价表-配送'!$B$84:$I$88,6,0)+IF(AND(MOD(H2928,30)&lt;=2.5,MOD(H2928,30)&gt;=1.5),1,0)*VLOOKUP(D2928,'报价表-配送'!$B$84:$I$88,5,0)</f>
        <v>0</v>
      </c>
      <c r="M2928" s="39">
        <f>IF(AND(MOD(H2928,30)&lt;1.5,MOD(H2928,30)&gt;=0.5),H2928,0)*VLOOKUP(D2928,'报价表-配送'!$B$84:$I$88,4,0)*1000+IF(AND(MOD(H2928,30)&lt;0.5,MOD(H2928,30)&gt;=0.02),H2928,0)*VLOOKUP(D2928,'报价表-配送'!$B$84:$I$88,3,0)*1000+IF(AND(MOD(H2928,30)&lt;0.02),H2928,0)*VLOOKUP(D2928,'报价表-配送'!$B$84:$I$88,2,0)*1000</f>
        <v>0</v>
      </c>
      <c r="N2928" s="127">
        <f t="shared" ref="N2928:N2929" si="79">SUM(I2928:L2928)</f>
        <v>0</v>
      </c>
    </row>
    <row r="2929" spans="1:14" x14ac:dyDescent="0.25">
      <c r="A2929" s="121" t="s">
        <v>111</v>
      </c>
      <c r="B2929" s="121" t="s">
        <v>118</v>
      </c>
      <c r="C2929" s="62">
        <f>VLOOKUP(B2929,合并仓明细!$D$2:$F$74,3,0)</f>
        <v>121</v>
      </c>
      <c r="D2929" s="122" t="s">
        <v>413</v>
      </c>
      <c r="E2929" s="123">
        <v>45957</v>
      </c>
      <c r="F2929" s="121" t="s">
        <v>67</v>
      </c>
      <c r="G2929" s="121">
        <v>1984.5667200000003</v>
      </c>
      <c r="H2929" s="124">
        <v>2.8428844699</v>
      </c>
      <c r="I2929" s="38">
        <f>IF(H2929&gt;30,QUOTIENT(H2929,30)*VLOOKUP(D2929,'报价表-配送'!$B$84:$I$88,8,0),0)+IF(AND(MOD(H2929,30)&gt;18,MOD(H2929,30)&lt;=30),1,0)*VLOOKUP(D2929,'报价表-配送'!$B$84:$I$88,8,0)</f>
        <v>0</v>
      </c>
      <c r="J2929" s="38">
        <f>IF(AND(MOD(H2929,30)&gt;8,MOD(H2929,30)&lt;=18),1*VLOOKUP(D2929,'报价表-配送'!$B$84:$I$88,7,0),0)</f>
        <v>0</v>
      </c>
      <c r="K2929" s="38">
        <f>IF(AND(MOD(H2929,30)&lt;=8,MOD(H2929,30)&gt;0),1,0)*VLOOKUP(D2929,'报价表-配送'!$B$84:$I$88,6,0)</f>
        <v>0</v>
      </c>
      <c r="L2929" s="121"/>
      <c r="M2929" s="126"/>
      <c r="N2929" s="127">
        <f t="shared" si="79"/>
        <v>0</v>
      </c>
    </row>
    <row r="2930" spans="1:14" x14ac:dyDescent="0.25">
      <c r="A2930" s="121" t="s">
        <v>111</v>
      </c>
      <c r="B2930" s="121" t="s">
        <v>118</v>
      </c>
      <c r="C2930" s="62">
        <f>VLOOKUP(B2930,合并仓明细!$D$2:$F$74,3,0)</f>
        <v>121</v>
      </c>
      <c r="D2930" s="122" t="s">
        <v>413</v>
      </c>
      <c r="E2930" s="123">
        <v>45957</v>
      </c>
      <c r="F2930" s="121" t="s">
        <v>66</v>
      </c>
      <c r="G2930" s="121">
        <v>858.31774989999985</v>
      </c>
      <c r="H2930" s="124"/>
      <c r="I2930" s="125"/>
      <c r="J2930" s="125"/>
      <c r="K2930" s="125"/>
      <c r="L2930" s="121"/>
      <c r="M2930" s="126"/>
      <c r="N2930" s="121"/>
    </row>
    <row r="2931" spans="1:14" x14ac:dyDescent="0.25">
      <c r="A2931" s="121" t="s">
        <v>111</v>
      </c>
      <c r="B2931" s="121" t="s">
        <v>118</v>
      </c>
      <c r="C2931" s="62">
        <f>VLOOKUP(B2931,合并仓明细!$D$2:$F$74,3,0)</f>
        <v>121</v>
      </c>
      <c r="D2931" s="122" t="s">
        <v>413</v>
      </c>
      <c r="E2931" s="123">
        <v>45979</v>
      </c>
      <c r="F2931" s="121" t="s">
        <v>66</v>
      </c>
      <c r="G2931" s="121">
        <v>164.25940030000004</v>
      </c>
      <c r="H2931" s="124">
        <v>0.16425940030000002</v>
      </c>
      <c r="I2931" s="125"/>
      <c r="J2931" s="125"/>
      <c r="K2931" s="125"/>
      <c r="L2931" s="37">
        <f>IF(H2931&gt;30,QUOTIENT(H2931,30)*VLOOKUP(D2931,'报价表-配送'!$B$84:$I$88,8,0),0)+IF(AND(MOD(H2931,30)&gt;18,MOD(H2931,30)&lt;=30),1,0)*VLOOKUP(D2931,'报价表-配送'!$B$84:$I$88,8,0)+IF(AND(MOD(H2931,30)&gt;8,MOD(H2931,30)&lt;=18),1*VLOOKUP(D2931,'报价表-配送'!$B$84:$I$88,7,0),0)+IF(AND(MOD(H2931,30)&lt;=8,MOD(H2931,30)&gt;2.5),1,0)*VLOOKUP(D2931,'报价表-配送'!$B$84:$I$88,6,0)+IF(AND(MOD(H2931,30)&lt;=2.5,MOD(H2931,30)&gt;=1.5),1,0)*VLOOKUP(D2931,'报价表-配送'!$B$84:$I$88,5,0)</f>
        <v>0</v>
      </c>
      <c r="M2931" s="39">
        <f>IF(AND(MOD(H2931,30)&lt;1.5,MOD(H2931,30)&gt;=0.5),H2931,0)*VLOOKUP(D2931,'报价表-配送'!$B$84:$I$88,4,0)*1000+IF(AND(MOD(H2931,30)&lt;0.5,MOD(H2931,30)&gt;=0.02),H2931,0)*VLOOKUP(D2931,'报价表-配送'!$B$84:$I$88,3,0)*1000+IF(AND(MOD(H2931,30)&lt;0.02),H2931,0)*VLOOKUP(D2931,'报价表-配送'!$B$84:$I$88,2,0)*1000</f>
        <v>0</v>
      </c>
      <c r="N2931" s="127">
        <f t="shared" ref="N2931:N2932" si="80">SUM(I2931:L2931)</f>
        <v>0</v>
      </c>
    </row>
    <row r="2932" spans="1:14" x14ac:dyDescent="0.25">
      <c r="A2932" s="121" t="s">
        <v>111</v>
      </c>
      <c r="B2932" s="121" t="s">
        <v>118</v>
      </c>
      <c r="C2932" s="62">
        <f>VLOOKUP(B2932,合并仓明细!$D$2:$F$74,3,0)</f>
        <v>121</v>
      </c>
      <c r="D2932" s="122" t="s">
        <v>413</v>
      </c>
      <c r="E2932" s="123">
        <v>45987</v>
      </c>
      <c r="F2932" s="121" t="s">
        <v>67</v>
      </c>
      <c r="G2932" s="121">
        <v>1017.233424</v>
      </c>
      <c r="H2932" s="124">
        <v>1.08663375732</v>
      </c>
      <c r="I2932" s="38">
        <f>IF(H2932&gt;30,QUOTIENT(H2932,30)*VLOOKUP(D2932,'报价表-配送'!$B$84:$I$88,8,0),0)+IF(AND(MOD(H2932,30)&gt;18,MOD(H2932,30)&lt;=30),1,0)*VLOOKUP(D2932,'报价表-配送'!$B$84:$I$88,8,0)</f>
        <v>0</v>
      </c>
      <c r="J2932" s="38">
        <f>IF(AND(MOD(H2932,30)&gt;8,MOD(H2932,30)&lt;=18),1*VLOOKUP(D2932,'报价表-配送'!$B$84:$I$88,7,0),0)</f>
        <v>0</v>
      </c>
      <c r="K2932" s="38">
        <f>IF(AND(MOD(H2932,30)&lt;=8,MOD(H2932,30)&gt;0),1,0)*VLOOKUP(D2932,'报价表-配送'!$B$84:$I$88,6,0)</f>
        <v>0</v>
      </c>
      <c r="L2932" s="121"/>
      <c r="M2932" s="126"/>
      <c r="N2932" s="127">
        <f t="shared" si="80"/>
        <v>0</v>
      </c>
    </row>
    <row r="2933" spans="1:14" x14ac:dyDescent="0.25">
      <c r="A2933" s="121" t="s">
        <v>111</v>
      </c>
      <c r="B2933" s="121" t="s">
        <v>118</v>
      </c>
      <c r="C2933" s="62">
        <f>VLOOKUP(B2933,合并仓明细!$D$2:$F$74,3,0)</f>
        <v>121</v>
      </c>
      <c r="D2933" s="122" t="s">
        <v>413</v>
      </c>
      <c r="E2933" s="123">
        <v>45987</v>
      </c>
      <c r="F2933" s="121" t="s">
        <v>66</v>
      </c>
      <c r="G2933" s="121">
        <v>69.400333319999987</v>
      </c>
      <c r="H2933" s="124"/>
      <c r="I2933" s="125"/>
      <c r="J2933" s="125"/>
      <c r="K2933" s="125"/>
      <c r="L2933" s="121"/>
      <c r="M2933" s="126"/>
      <c r="N2933" s="121"/>
    </row>
    <row r="2934" spans="1:14" x14ac:dyDescent="0.25">
      <c r="A2934" s="121" t="s">
        <v>111</v>
      </c>
      <c r="B2934" s="121" t="s">
        <v>118</v>
      </c>
      <c r="C2934" s="62">
        <f>VLOOKUP(B2934,合并仓明细!$D$2:$F$74,3,0)</f>
        <v>121</v>
      </c>
      <c r="D2934" s="122" t="s">
        <v>413</v>
      </c>
      <c r="E2934" s="123">
        <v>45993</v>
      </c>
      <c r="F2934" s="121" t="s">
        <v>66</v>
      </c>
      <c r="G2934" s="121">
        <v>40.631250000000001</v>
      </c>
      <c r="H2934" s="124">
        <v>4.0631250000000001E-2</v>
      </c>
      <c r="I2934" s="125"/>
      <c r="J2934" s="125"/>
      <c r="K2934" s="125"/>
      <c r="L2934" s="37">
        <f>IF(H2934&gt;30,QUOTIENT(H2934,30)*VLOOKUP(D2934,'报价表-配送'!$B$84:$I$88,8,0),0)+IF(AND(MOD(H2934,30)&gt;18,MOD(H2934,30)&lt;=30),1,0)*VLOOKUP(D2934,'报价表-配送'!$B$84:$I$88,8,0)+IF(AND(MOD(H2934,30)&gt;8,MOD(H2934,30)&lt;=18),1*VLOOKUP(D2934,'报价表-配送'!$B$84:$I$88,7,0),0)+IF(AND(MOD(H2934,30)&lt;=8,MOD(H2934,30)&gt;2.5),1,0)*VLOOKUP(D2934,'报价表-配送'!$B$84:$I$88,6,0)+IF(AND(MOD(H2934,30)&lt;=2.5,MOD(H2934,30)&gt;=1.5),1,0)*VLOOKUP(D2934,'报价表-配送'!$B$84:$I$88,5,0)</f>
        <v>0</v>
      </c>
      <c r="M2934" s="39">
        <f>IF(AND(MOD(H2934,30)&lt;1.5,MOD(H2934,30)&gt;=0.5),H2934,0)*VLOOKUP(D2934,'报价表-配送'!$B$84:$I$88,4,0)*1000+IF(AND(MOD(H2934,30)&lt;0.5,MOD(H2934,30)&gt;=0.02),H2934,0)*VLOOKUP(D2934,'报价表-配送'!$B$84:$I$88,3,0)*1000+IF(AND(MOD(H2934,30)&lt;0.02),H2934,0)*VLOOKUP(D2934,'报价表-配送'!$B$84:$I$88,2,0)*1000</f>
        <v>0</v>
      </c>
      <c r="N2934" s="127">
        <f t="shared" ref="N2934:N2935" si="81">SUM(I2934:L2934)</f>
        <v>0</v>
      </c>
    </row>
    <row r="2935" spans="1:14" x14ac:dyDescent="0.25">
      <c r="A2935" s="121" t="s">
        <v>111</v>
      </c>
      <c r="B2935" s="121" t="s">
        <v>118</v>
      </c>
      <c r="C2935" s="62">
        <f>VLOOKUP(B2935,合并仓明细!$D$2:$F$74,3,0)</f>
        <v>121</v>
      </c>
      <c r="D2935" s="122" t="s">
        <v>413</v>
      </c>
      <c r="E2935" s="123">
        <v>46000</v>
      </c>
      <c r="F2935" s="121" t="s">
        <v>67</v>
      </c>
      <c r="G2935" s="121">
        <v>1428.8418000000001</v>
      </c>
      <c r="H2935" s="124">
        <v>1.6828118000000001</v>
      </c>
      <c r="I2935" s="38">
        <f>IF(H2935&gt;30,QUOTIENT(H2935,30)*VLOOKUP(D2935,'报价表-配送'!$B$84:$I$88,8,0),0)+IF(AND(MOD(H2935,30)&gt;18,MOD(H2935,30)&lt;=30),1,0)*VLOOKUP(D2935,'报价表-配送'!$B$84:$I$88,8,0)</f>
        <v>0</v>
      </c>
      <c r="J2935" s="38">
        <f>IF(AND(MOD(H2935,30)&gt;8,MOD(H2935,30)&lt;=18),1*VLOOKUP(D2935,'报价表-配送'!$B$84:$I$88,7,0),0)</f>
        <v>0</v>
      </c>
      <c r="K2935" s="38">
        <f>IF(AND(MOD(H2935,30)&lt;=8,MOD(H2935,30)&gt;0),1,0)*VLOOKUP(D2935,'报价表-配送'!$B$84:$I$88,6,0)</f>
        <v>0</v>
      </c>
      <c r="L2935" s="121"/>
      <c r="M2935" s="126"/>
      <c r="N2935" s="127">
        <f t="shared" si="81"/>
        <v>0</v>
      </c>
    </row>
    <row r="2936" spans="1:14" x14ac:dyDescent="0.25">
      <c r="A2936" s="121" t="s">
        <v>111</v>
      </c>
      <c r="B2936" s="121" t="s">
        <v>118</v>
      </c>
      <c r="C2936" s="62">
        <f>VLOOKUP(B2936,合并仓明细!$D$2:$F$74,3,0)</f>
        <v>121</v>
      </c>
      <c r="D2936" s="122" t="s">
        <v>413</v>
      </c>
      <c r="E2936" s="123">
        <v>46000</v>
      </c>
      <c r="F2936" s="121" t="s">
        <v>66</v>
      </c>
      <c r="G2936" s="121">
        <v>253.97</v>
      </c>
      <c r="H2936" s="124"/>
      <c r="I2936" s="125"/>
      <c r="J2936" s="125"/>
      <c r="K2936" s="125"/>
      <c r="L2936" s="121"/>
      <c r="M2936" s="126"/>
      <c r="N2936" s="121"/>
    </row>
    <row r="2937" spans="1:14" x14ac:dyDescent="0.25">
      <c r="A2937" s="121" t="s">
        <v>111</v>
      </c>
      <c r="B2937" s="121" t="s">
        <v>118</v>
      </c>
      <c r="C2937" s="62">
        <f>VLOOKUP(B2937,合并仓明细!$D$2:$F$74,3,0)</f>
        <v>121</v>
      </c>
      <c r="D2937" s="122" t="s">
        <v>413</v>
      </c>
      <c r="E2937" s="123">
        <v>46008</v>
      </c>
      <c r="F2937" s="121" t="s">
        <v>66</v>
      </c>
      <c r="G2937" s="121">
        <v>78.41333333</v>
      </c>
      <c r="H2937" s="124">
        <v>7.8413333330000001E-2</v>
      </c>
      <c r="I2937" s="125"/>
      <c r="J2937" s="125"/>
      <c r="K2937" s="125"/>
      <c r="L2937" s="37">
        <f>IF(H2937&gt;30,QUOTIENT(H2937,30)*VLOOKUP(D2937,'报价表-配送'!$B$84:$I$88,8,0),0)+IF(AND(MOD(H2937,30)&gt;18,MOD(H2937,30)&lt;=30),1,0)*VLOOKUP(D2937,'报价表-配送'!$B$84:$I$88,8,0)+IF(AND(MOD(H2937,30)&gt;8,MOD(H2937,30)&lt;=18),1*VLOOKUP(D2937,'报价表-配送'!$B$84:$I$88,7,0),0)+IF(AND(MOD(H2937,30)&lt;=8,MOD(H2937,30)&gt;2.5),1,0)*VLOOKUP(D2937,'报价表-配送'!$B$84:$I$88,6,0)+IF(AND(MOD(H2937,30)&lt;=2.5,MOD(H2937,30)&gt;=1.5),1,0)*VLOOKUP(D2937,'报价表-配送'!$B$84:$I$88,5,0)</f>
        <v>0</v>
      </c>
      <c r="M2937" s="39">
        <f>IF(AND(MOD(H2937,30)&lt;1.5,MOD(H2937,30)&gt;=0.5),H2937,0)*VLOOKUP(D2937,'报价表-配送'!$B$84:$I$88,4,0)*1000+IF(AND(MOD(H2937,30)&lt;0.5,MOD(H2937,30)&gt;=0.02),H2937,0)*VLOOKUP(D2937,'报价表-配送'!$B$84:$I$88,3,0)*1000+IF(AND(MOD(H2937,30)&lt;0.02),H2937,0)*VLOOKUP(D2937,'报价表-配送'!$B$84:$I$88,2,0)*1000</f>
        <v>0</v>
      </c>
      <c r="N2937" s="127">
        <f t="shared" ref="N2937:N2939" si="82">SUM(I2937:L2937)</f>
        <v>0</v>
      </c>
    </row>
    <row r="2938" spans="1:14" x14ac:dyDescent="0.25">
      <c r="A2938" s="121" t="s">
        <v>111</v>
      </c>
      <c r="B2938" s="121" t="s">
        <v>118</v>
      </c>
      <c r="C2938" s="62">
        <f>VLOOKUP(B2938,合并仓明细!$D$2:$F$74,3,0)</f>
        <v>121</v>
      </c>
      <c r="D2938" s="122" t="s">
        <v>413</v>
      </c>
      <c r="E2938" s="123">
        <v>46015</v>
      </c>
      <c r="F2938" s="121" t="s">
        <v>66</v>
      </c>
      <c r="G2938" s="121">
        <v>425.58833262000007</v>
      </c>
      <c r="H2938" s="124">
        <v>0.42558833262000006</v>
      </c>
      <c r="I2938" s="125"/>
      <c r="J2938" s="125"/>
      <c r="K2938" s="125"/>
      <c r="L2938" s="37">
        <f>IF(H2938&gt;30,QUOTIENT(H2938,30)*VLOOKUP(D2938,'报价表-配送'!$B$84:$I$88,8,0),0)+IF(AND(MOD(H2938,30)&gt;18,MOD(H2938,30)&lt;=30),1,0)*VLOOKUP(D2938,'报价表-配送'!$B$84:$I$88,8,0)+IF(AND(MOD(H2938,30)&gt;8,MOD(H2938,30)&lt;=18),1*VLOOKUP(D2938,'报价表-配送'!$B$84:$I$88,7,0),0)+IF(AND(MOD(H2938,30)&lt;=8,MOD(H2938,30)&gt;2.5),1,0)*VLOOKUP(D2938,'报价表-配送'!$B$84:$I$88,6,0)+IF(AND(MOD(H2938,30)&lt;=2.5,MOD(H2938,30)&gt;=1.5),1,0)*VLOOKUP(D2938,'报价表-配送'!$B$84:$I$88,5,0)</f>
        <v>0</v>
      </c>
      <c r="M2938" s="39">
        <f>IF(AND(MOD(H2938,30)&lt;1.5,MOD(H2938,30)&gt;=0.5),H2938,0)*VLOOKUP(D2938,'报价表-配送'!$B$84:$I$88,4,0)*1000+IF(AND(MOD(H2938,30)&lt;0.5,MOD(H2938,30)&gt;=0.02),H2938,0)*VLOOKUP(D2938,'报价表-配送'!$B$84:$I$88,3,0)*1000+IF(AND(MOD(H2938,30)&lt;0.02),H2938,0)*VLOOKUP(D2938,'报价表-配送'!$B$84:$I$88,2,0)*1000</f>
        <v>0</v>
      </c>
      <c r="N2938" s="127">
        <f t="shared" si="82"/>
        <v>0</v>
      </c>
    </row>
    <row r="2939" spans="1:14" x14ac:dyDescent="0.25">
      <c r="A2939" s="121" t="s">
        <v>111</v>
      </c>
      <c r="B2939" s="121" t="s">
        <v>118</v>
      </c>
      <c r="C2939" s="62">
        <f>VLOOKUP(B2939,合并仓明细!$D$2:$F$74,3,0)</f>
        <v>121</v>
      </c>
      <c r="D2939" s="122" t="s">
        <v>413</v>
      </c>
      <c r="E2939" s="123">
        <v>46016</v>
      </c>
      <c r="F2939" s="121" t="s">
        <v>67</v>
      </c>
      <c r="G2939" s="121">
        <v>3922.4276639999998</v>
      </c>
      <c r="H2939" s="124">
        <v>4.0371459973499997</v>
      </c>
      <c r="I2939" s="38">
        <f>IF(H2939&gt;30,QUOTIENT(H2939,30)*VLOOKUP(D2939,'报价表-配送'!$B$84:$I$88,8,0),0)+IF(AND(MOD(H2939,30)&gt;18,MOD(H2939,30)&lt;=30),1,0)*VLOOKUP(D2939,'报价表-配送'!$B$84:$I$88,8,0)</f>
        <v>0</v>
      </c>
      <c r="J2939" s="38">
        <f>IF(AND(MOD(H2939,30)&gt;8,MOD(H2939,30)&lt;=18),1*VLOOKUP(D2939,'报价表-配送'!$B$84:$I$88,7,0),0)</f>
        <v>0</v>
      </c>
      <c r="K2939" s="38">
        <f>IF(AND(MOD(H2939,30)&lt;=8,MOD(H2939,30)&gt;0),1,0)*VLOOKUP(D2939,'报价表-配送'!$B$84:$I$88,6,0)</f>
        <v>0</v>
      </c>
      <c r="L2939" s="121"/>
      <c r="M2939" s="126"/>
      <c r="N2939" s="127">
        <f t="shared" si="82"/>
        <v>0</v>
      </c>
    </row>
    <row r="2940" spans="1:14" x14ac:dyDescent="0.25">
      <c r="A2940" s="121" t="s">
        <v>111</v>
      </c>
      <c r="B2940" s="121" t="s">
        <v>118</v>
      </c>
      <c r="C2940" s="62">
        <f>VLOOKUP(B2940,合并仓明细!$D$2:$F$74,3,0)</f>
        <v>121</v>
      </c>
      <c r="D2940" s="122" t="s">
        <v>413</v>
      </c>
      <c r="E2940" s="123">
        <v>46016</v>
      </c>
      <c r="F2940" s="121" t="s">
        <v>66</v>
      </c>
      <c r="G2940" s="121">
        <v>114.71833335000001</v>
      </c>
      <c r="H2940" s="124"/>
      <c r="I2940" s="125"/>
      <c r="J2940" s="125"/>
      <c r="K2940" s="125"/>
      <c r="L2940" s="121"/>
      <c r="M2940" s="126"/>
      <c r="N2940" s="121"/>
    </row>
    <row r="2941" spans="1:14" x14ac:dyDescent="0.25">
      <c r="A2941" s="121" t="s">
        <v>111</v>
      </c>
      <c r="B2941" s="121" t="s">
        <v>118</v>
      </c>
      <c r="C2941" s="62">
        <f>VLOOKUP(B2941,合并仓明细!$D$2:$F$74,3,0)</f>
        <v>121</v>
      </c>
      <c r="D2941" s="122" t="s">
        <v>413</v>
      </c>
      <c r="E2941" s="123">
        <v>46029</v>
      </c>
      <c r="F2941" s="121" t="s">
        <v>66</v>
      </c>
      <c r="G2941" s="121">
        <v>731.23299999999995</v>
      </c>
      <c r="H2941" s="124">
        <v>0.73123299999999991</v>
      </c>
      <c r="I2941" s="125"/>
      <c r="J2941" s="125"/>
      <c r="K2941" s="125"/>
      <c r="L2941" s="37">
        <f>IF(H2941&gt;30,QUOTIENT(H2941,30)*VLOOKUP(D2941,'报价表-配送'!$B$84:$I$88,8,0),0)+IF(AND(MOD(H2941,30)&gt;18,MOD(H2941,30)&lt;=30),1,0)*VLOOKUP(D2941,'报价表-配送'!$B$84:$I$88,8,0)+IF(AND(MOD(H2941,30)&gt;8,MOD(H2941,30)&lt;=18),1*VLOOKUP(D2941,'报价表-配送'!$B$84:$I$88,7,0),0)+IF(AND(MOD(H2941,30)&lt;=8,MOD(H2941,30)&gt;2.5),1,0)*VLOOKUP(D2941,'报价表-配送'!$B$84:$I$88,6,0)+IF(AND(MOD(H2941,30)&lt;=2.5,MOD(H2941,30)&gt;=1.5),1,0)*VLOOKUP(D2941,'报价表-配送'!$B$84:$I$88,5,0)</f>
        <v>0</v>
      </c>
      <c r="M2941" s="39">
        <f>IF(AND(MOD(H2941,30)&lt;1.5,MOD(H2941,30)&gt;=0.5),H2941,0)*VLOOKUP(D2941,'报价表-配送'!$B$84:$I$88,4,0)*1000+IF(AND(MOD(H2941,30)&lt;0.5,MOD(H2941,30)&gt;=0.02),H2941,0)*VLOOKUP(D2941,'报价表-配送'!$B$84:$I$88,3,0)*1000+IF(AND(MOD(H2941,30)&lt;0.02),H2941,0)*VLOOKUP(D2941,'报价表-配送'!$B$84:$I$88,2,0)*1000</f>
        <v>0</v>
      </c>
      <c r="N2941" s="127">
        <f t="shared" ref="N2941:N2942" si="83">SUM(I2941:L2941)</f>
        <v>0</v>
      </c>
    </row>
    <row r="2942" spans="1:14" x14ac:dyDescent="0.25">
      <c r="A2942" s="121" t="s">
        <v>111</v>
      </c>
      <c r="B2942" s="121" t="s">
        <v>118</v>
      </c>
      <c r="C2942" s="62">
        <f>VLOOKUP(B2942,合并仓明细!$D$2:$F$74,3,0)</f>
        <v>121</v>
      </c>
      <c r="D2942" s="122" t="s">
        <v>413</v>
      </c>
      <c r="E2942" s="123">
        <v>46043</v>
      </c>
      <c r="F2942" s="121" t="s">
        <v>68</v>
      </c>
      <c r="G2942" s="121">
        <v>929.66399999999999</v>
      </c>
      <c r="H2942" s="124">
        <v>1.1104973333000001</v>
      </c>
      <c r="I2942" s="46">
        <f>ROUNDUP(H2942/30,0)*VLOOKUP(D2942,'报价表-配送'!$B$84:$I$88,8,0)</f>
        <v>0</v>
      </c>
      <c r="J2942" s="125"/>
      <c r="K2942" s="125"/>
      <c r="L2942" s="121"/>
      <c r="M2942" s="126"/>
      <c r="N2942" s="127">
        <f t="shared" si="83"/>
        <v>0</v>
      </c>
    </row>
    <row r="2943" spans="1:14" x14ac:dyDescent="0.25">
      <c r="A2943" s="121" t="s">
        <v>111</v>
      </c>
      <c r="B2943" s="121" t="s">
        <v>118</v>
      </c>
      <c r="C2943" s="62">
        <f>VLOOKUP(B2943,合并仓明细!$D$2:$F$74,3,0)</f>
        <v>121</v>
      </c>
      <c r="D2943" s="122" t="s">
        <v>413</v>
      </c>
      <c r="E2943" s="123">
        <v>46043</v>
      </c>
      <c r="F2943" s="121" t="s">
        <v>67</v>
      </c>
      <c r="G2943" s="121">
        <v>104.625</v>
      </c>
      <c r="H2943" s="124"/>
      <c r="I2943" s="125"/>
      <c r="J2943" s="125"/>
      <c r="K2943" s="125"/>
      <c r="L2943" s="121"/>
      <c r="M2943" s="126"/>
      <c r="N2943" s="121"/>
    </row>
    <row r="2944" spans="1:14" x14ac:dyDescent="0.25">
      <c r="A2944" s="121" t="s">
        <v>111</v>
      </c>
      <c r="B2944" s="121" t="s">
        <v>118</v>
      </c>
      <c r="C2944" s="62">
        <f>VLOOKUP(B2944,合并仓明细!$D$2:$F$74,3,0)</f>
        <v>121</v>
      </c>
      <c r="D2944" s="122" t="s">
        <v>413</v>
      </c>
      <c r="E2944" s="123">
        <v>46043</v>
      </c>
      <c r="F2944" s="121" t="s">
        <v>66</v>
      </c>
      <c r="G2944" s="121">
        <v>76.208333300000007</v>
      </c>
      <c r="H2944" s="124"/>
      <c r="I2944" s="125"/>
      <c r="J2944" s="125"/>
      <c r="K2944" s="125"/>
      <c r="L2944" s="121"/>
      <c r="M2944" s="126"/>
      <c r="N2944" s="121"/>
    </row>
    <row r="2945" spans="1:14" x14ac:dyDescent="0.25">
      <c r="A2945" s="121" t="s">
        <v>111</v>
      </c>
      <c r="B2945" s="121" t="s">
        <v>118</v>
      </c>
      <c r="C2945" s="62">
        <f>VLOOKUP(B2945,合并仓明细!$D$2:$F$74,3,0)</f>
        <v>121</v>
      </c>
      <c r="D2945" s="122" t="s">
        <v>413</v>
      </c>
      <c r="E2945" s="123">
        <v>46044</v>
      </c>
      <c r="F2945" s="121" t="s">
        <v>66</v>
      </c>
      <c r="G2945" s="121">
        <v>238.99999999999997</v>
      </c>
      <c r="H2945" s="124">
        <v>0.23899999999999996</v>
      </c>
      <c r="I2945" s="125"/>
      <c r="J2945" s="125"/>
      <c r="K2945" s="125"/>
      <c r="L2945" s="37">
        <f>IF(H2945&gt;30,QUOTIENT(H2945,30)*VLOOKUP(D2945,'报价表-配送'!$B$84:$I$88,8,0),0)+IF(AND(MOD(H2945,30)&gt;18,MOD(H2945,30)&lt;=30),1,0)*VLOOKUP(D2945,'报价表-配送'!$B$84:$I$88,8,0)+IF(AND(MOD(H2945,30)&gt;8,MOD(H2945,30)&lt;=18),1*VLOOKUP(D2945,'报价表-配送'!$B$84:$I$88,7,0),0)+IF(AND(MOD(H2945,30)&lt;=8,MOD(H2945,30)&gt;2.5),1,0)*VLOOKUP(D2945,'报价表-配送'!$B$84:$I$88,6,0)+IF(AND(MOD(H2945,30)&lt;=2.5,MOD(H2945,30)&gt;=1.5),1,0)*VLOOKUP(D2945,'报价表-配送'!$B$84:$I$88,5,0)</f>
        <v>0</v>
      </c>
      <c r="M2945" s="39">
        <f>IF(AND(MOD(H2945,30)&lt;1.5,MOD(H2945,30)&gt;=0.5),H2945,0)*VLOOKUP(D2945,'报价表-配送'!$B$84:$I$88,4,0)*1000+IF(AND(MOD(H2945,30)&lt;0.5,MOD(H2945,30)&gt;=0.02),H2945,0)*VLOOKUP(D2945,'报价表-配送'!$B$84:$I$88,3,0)*1000+IF(AND(MOD(H2945,30)&lt;0.02),H2945,0)*VLOOKUP(D2945,'报价表-配送'!$B$84:$I$88,2,0)*1000</f>
        <v>0</v>
      </c>
      <c r="N2945" s="127">
        <f t="shared" ref="N2945:N2946" si="84">SUM(I2945:L2945)</f>
        <v>0</v>
      </c>
    </row>
    <row r="2946" spans="1:14" x14ac:dyDescent="0.25">
      <c r="A2946" s="121" t="s">
        <v>111</v>
      </c>
      <c r="B2946" s="121" t="s">
        <v>118</v>
      </c>
      <c r="C2946" s="62">
        <f>VLOOKUP(B2946,合并仓明细!$D$2:$F$74,3,0)</f>
        <v>121</v>
      </c>
      <c r="D2946" s="122" t="s">
        <v>413</v>
      </c>
      <c r="E2946" s="123">
        <v>46056</v>
      </c>
      <c r="F2946" s="121" t="s">
        <v>67</v>
      </c>
      <c r="G2946" s="121">
        <v>5659.6909240000005</v>
      </c>
      <c r="H2946" s="124">
        <v>5.8504309240000003</v>
      </c>
      <c r="I2946" s="38">
        <f>IF(H2946&gt;30,QUOTIENT(H2946,30)*VLOOKUP(D2946,'报价表-配送'!$B$84:$I$88,8,0),0)+IF(AND(MOD(H2946,30)&gt;18,MOD(H2946,30)&lt;=30),1,0)*VLOOKUP(D2946,'报价表-配送'!$B$84:$I$88,8,0)</f>
        <v>0</v>
      </c>
      <c r="J2946" s="38">
        <f>IF(AND(MOD(H2946,30)&gt;8,MOD(H2946,30)&lt;=18),1*VLOOKUP(D2946,'报价表-配送'!$B$84:$I$88,7,0),0)</f>
        <v>0</v>
      </c>
      <c r="K2946" s="38">
        <f>IF(AND(MOD(H2946,30)&lt;=8,MOD(H2946,30)&gt;0),1,0)*VLOOKUP(D2946,'报价表-配送'!$B$84:$I$88,6,0)</f>
        <v>0</v>
      </c>
      <c r="L2946" s="121"/>
      <c r="M2946" s="126"/>
      <c r="N2946" s="127">
        <f t="shared" si="84"/>
        <v>0</v>
      </c>
    </row>
    <row r="2947" spans="1:14" x14ac:dyDescent="0.25">
      <c r="A2947" s="121" t="s">
        <v>111</v>
      </c>
      <c r="B2947" s="121" t="s">
        <v>118</v>
      </c>
      <c r="C2947" s="62">
        <f>VLOOKUP(B2947,合并仓明细!$D$2:$F$74,3,0)</f>
        <v>121</v>
      </c>
      <c r="D2947" s="122" t="s">
        <v>413</v>
      </c>
      <c r="E2947" s="123">
        <v>46056</v>
      </c>
      <c r="F2947" s="121" t="s">
        <v>66</v>
      </c>
      <c r="G2947" s="121">
        <v>190.74</v>
      </c>
      <c r="H2947" s="124"/>
      <c r="I2947" s="125"/>
      <c r="J2947" s="125"/>
      <c r="K2947" s="125"/>
      <c r="L2947" s="121"/>
      <c r="M2947" s="126"/>
      <c r="N2947" s="121"/>
    </row>
    <row r="2948" spans="1:14" x14ac:dyDescent="0.25">
      <c r="A2948" s="121" t="s">
        <v>111</v>
      </c>
      <c r="B2948" s="121" t="s">
        <v>119</v>
      </c>
      <c r="C2948" s="62">
        <f>VLOOKUP(B2948,合并仓明细!$D$2:$F$74,3,0)</f>
        <v>156</v>
      </c>
      <c r="D2948" s="122" t="s">
        <v>413</v>
      </c>
      <c r="E2948" s="123">
        <v>45953</v>
      </c>
      <c r="F2948" s="121" t="s">
        <v>66</v>
      </c>
      <c r="G2948" s="121">
        <v>212.858</v>
      </c>
      <c r="H2948" s="124">
        <v>0.21285799999999999</v>
      </c>
      <c r="I2948" s="125"/>
      <c r="J2948" s="125"/>
      <c r="K2948" s="125"/>
      <c r="L2948" s="37">
        <f>IF(H2948&gt;30,QUOTIENT(H2948,30)*VLOOKUP(D2948,'报价表-配送'!$B$84:$I$88,8,0),0)+IF(AND(MOD(H2948,30)&gt;18,MOD(H2948,30)&lt;=30),1,0)*VLOOKUP(D2948,'报价表-配送'!$B$84:$I$88,8,0)+IF(AND(MOD(H2948,30)&gt;8,MOD(H2948,30)&lt;=18),1*VLOOKUP(D2948,'报价表-配送'!$B$84:$I$88,7,0),0)+IF(AND(MOD(H2948,30)&lt;=8,MOD(H2948,30)&gt;2.5),1,0)*VLOOKUP(D2948,'报价表-配送'!$B$84:$I$88,6,0)+IF(AND(MOD(H2948,30)&lt;=2.5,MOD(H2948,30)&gt;=1.5),1,0)*VLOOKUP(D2948,'报价表-配送'!$B$84:$I$88,5,0)</f>
        <v>0</v>
      </c>
      <c r="M2948" s="39">
        <f>IF(AND(MOD(H2948,30)&lt;1.5,MOD(H2948,30)&gt;=0.5),H2948,0)*VLOOKUP(D2948,'报价表-配送'!$B$84:$I$88,4,0)*1000+IF(AND(MOD(H2948,30)&lt;0.5,MOD(H2948,30)&gt;=0.02),H2948,0)*VLOOKUP(D2948,'报价表-配送'!$B$84:$I$88,3,0)*1000+IF(AND(MOD(H2948,30)&lt;0.02),H2948,0)*VLOOKUP(D2948,'报价表-配送'!$B$84:$I$88,2,0)*1000</f>
        <v>0</v>
      </c>
      <c r="N2948" s="127">
        <f t="shared" ref="N2948:N2949" si="85">SUM(I2948:L2948)</f>
        <v>0</v>
      </c>
    </row>
    <row r="2949" spans="1:14" x14ac:dyDescent="0.25">
      <c r="A2949" s="121" t="s">
        <v>111</v>
      </c>
      <c r="B2949" s="121" t="s">
        <v>119</v>
      </c>
      <c r="C2949" s="62">
        <f>VLOOKUP(B2949,合并仓明细!$D$2:$F$74,3,0)</f>
        <v>156</v>
      </c>
      <c r="D2949" s="122" t="s">
        <v>413</v>
      </c>
      <c r="E2949" s="123">
        <v>45987</v>
      </c>
      <c r="F2949" s="121" t="s">
        <v>68</v>
      </c>
      <c r="G2949" s="121">
        <v>12.77148</v>
      </c>
      <c r="H2949" s="124">
        <v>0.78968708649999986</v>
      </c>
      <c r="I2949" s="46">
        <f>ROUNDUP(H2949/30,0)*VLOOKUP(D2949,'报价表-配送'!$B$84:$I$88,8,0)</f>
        <v>0</v>
      </c>
      <c r="J2949" s="125"/>
      <c r="K2949" s="125"/>
      <c r="L2949" s="121"/>
      <c r="M2949" s="126"/>
      <c r="N2949" s="127">
        <f t="shared" si="85"/>
        <v>0</v>
      </c>
    </row>
    <row r="2950" spans="1:14" x14ac:dyDescent="0.25">
      <c r="A2950" s="121" t="s">
        <v>111</v>
      </c>
      <c r="B2950" s="121" t="s">
        <v>119</v>
      </c>
      <c r="C2950" s="62">
        <f>VLOOKUP(B2950,合并仓明细!$D$2:$F$74,3,0)</f>
        <v>156</v>
      </c>
      <c r="D2950" s="122" t="s">
        <v>413</v>
      </c>
      <c r="E2950" s="123">
        <v>45987</v>
      </c>
      <c r="F2950" s="121" t="s">
        <v>67</v>
      </c>
      <c r="G2950" s="121">
        <v>638.6549399999999</v>
      </c>
      <c r="H2950" s="124"/>
      <c r="I2950" s="125"/>
      <c r="J2950" s="125"/>
      <c r="K2950" s="125"/>
      <c r="L2950" s="121"/>
      <c r="M2950" s="126"/>
      <c r="N2950" s="121"/>
    </row>
    <row r="2951" spans="1:14" x14ac:dyDescent="0.25">
      <c r="A2951" s="121" t="s">
        <v>111</v>
      </c>
      <c r="B2951" s="121" t="s">
        <v>119</v>
      </c>
      <c r="C2951" s="62">
        <f>VLOOKUP(B2951,合并仓明细!$D$2:$F$74,3,0)</f>
        <v>156</v>
      </c>
      <c r="D2951" s="122" t="s">
        <v>413</v>
      </c>
      <c r="E2951" s="123">
        <v>45987</v>
      </c>
      <c r="F2951" s="121" t="s">
        <v>66</v>
      </c>
      <c r="G2951" s="121">
        <v>138.26066650000001</v>
      </c>
      <c r="H2951" s="124"/>
      <c r="I2951" s="125"/>
      <c r="J2951" s="125"/>
      <c r="K2951" s="125"/>
      <c r="L2951" s="121"/>
      <c r="M2951" s="126"/>
      <c r="N2951" s="121"/>
    </row>
    <row r="2952" spans="1:14" x14ac:dyDescent="0.25">
      <c r="A2952" s="121" t="s">
        <v>111</v>
      </c>
      <c r="B2952" s="121" t="s">
        <v>119</v>
      </c>
      <c r="C2952" s="62">
        <f>VLOOKUP(B2952,合并仓明细!$D$2:$F$74,3,0)</f>
        <v>156</v>
      </c>
      <c r="D2952" s="122" t="s">
        <v>413</v>
      </c>
      <c r="E2952" s="123">
        <v>46010</v>
      </c>
      <c r="F2952" s="121" t="s">
        <v>66</v>
      </c>
      <c r="G2952" s="121">
        <v>13.45</v>
      </c>
      <c r="H2952" s="124">
        <v>1.345E-2</v>
      </c>
      <c r="I2952" s="125"/>
      <c r="J2952" s="125"/>
      <c r="K2952" s="125"/>
      <c r="L2952" s="37">
        <f>IF(H2952&gt;30,QUOTIENT(H2952,30)*VLOOKUP(D2952,'报价表-配送'!$B$84:$I$88,8,0),0)+IF(AND(MOD(H2952,30)&gt;18,MOD(H2952,30)&lt;=30),1,0)*VLOOKUP(D2952,'报价表-配送'!$B$84:$I$88,8,0)+IF(AND(MOD(H2952,30)&gt;8,MOD(H2952,30)&lt;=18),1*VLOOKUP(D2952,'报价表-配送'!$B$84:$I$88,7,0),0)+IF(AND(MOD(H2952,30)&lt;=8,MOD(H2952,30)&gt;2.5),1,0)*VLOOKUP(D2952,'报价表-配送'!$B$84:$I$88,6,0)+IF(AND(MOD(H2952,30)&lt;=2.5,MOD(H2952,30)&gt;=1.5),1,0)*VLOOKUP(D2952,'报价表-配送'!$B$84:$I$88,5,0)</f>
        <v>0</v>
      </c>
      <c r="M2952" s="39">
        <f>IF(AND(MOD(H2952,30)&lt;1.5,MOD(H2952,30)&gt;=0.5),H2952,0)*VLOOKUP(D2952,'报价表-配送'!$B$84:$I$88,4,0)*1000+IF(AND(MOD(H2952,30)&lt;0.5,MOD(H2952,30)&gt;=0.02),H2952,0)*VLOOKUP(D2952,'报价表-配送'!$B$84:$I$88,3,0)*1000+IF(AND(MOD(H2952,30)&lt;0.02),H2952,0)*VLOOKUP(D2952,'报价表-配送'!$B$84:$I$88,2,0)*1000</f>
        <v>0</v>
      </c>
      <c r="N2952" s="127">
        <f t="shared" ref="N2952:N2956" si="86">SUM(I2952:L2952)</f>
        <v>0</v>
      </c>
    </row>
    <row r="2953" spans="1:14" x14ac:dyDescent="0.25">
      <c r="A2953" s="121" t="s">
        <v>111</v>
      </c>
      <c r="B2953" s="121" t="s">
        <v>119</v>
      </c>
      <c r="C2953" s="62">
        <f>VLOOKUP(B2953,合并仓明细!$D$2:$F$74,3,0)</f>
        <v>156</v>
      </c>
      <c r="D2953" s="122" t="s">
        <v>413</v>
      </c>
      <c r="E2953" s="123">
        <v>46017</v>
      </c>
      <c r="F2953" s="121" t="s">
        <v>66</v>
      </c>
      <c r="G2953" s="121">
        <v>4.32</v>
      </c>
      <c r="H2953" s="124">
        <v>4.3200000000000001E-3</v>
      </c>
      <c r="I2953" s="125"/>
      <c r="J2953" s="125"/>
      <c r="K2953" s="125"/>
      <c r="L2953" s="37">
        <f>IF(H2953&gt;30,QUOTIENT(H2953,30)*VLOOKUP(D2953,'报价表-配送'!$B$84:$I$88,8,0),0)+IF(AND(MOD(H2953,30)&gt;18,MOD(H2953,30)&lt;=30),1,0)*VLOOKUP(D2953,'报价表-配送'!$B$84:$I$88,8,0)+IF(AND(MOD(H2953,30)&gt;8,MOD(H2953,30)&lt;=18),1*VLOOKUP(D2953,'报价表-配送'!$B$84:$I$88,7,0),0)+IF(AND(MOD(H2953,30)&lt;=8,MOD(H2953,30)&gt;2.5),1,0)*VLOOKUP(D2953,'报价表-配送'!$B$84:$I$88,6,0)+IF(AND(MOD(H2953,30)&lt;=2.5,MOD(H2953,30)&gt;=1.5),1,0)*VLOOKUP(D2953,'报价表-配送'!$B$84:$I$88,5,0)</f>
        <v>0</v>
      </c>
      <c r="M2953" s="39">
        <f>IF(AND(MOD(H2953,30)&lt;1.5,MOD(H2953,30)&gt;=0.5),H2953,0)*VLOOKUP(D2953,'报价表-配送'!$B$84:$I$88,4,0)*1000+IF(AND(MOD(H2953,30)&lt;0.5,MOD(H2953,30)&gt;=0.02),H2953,0)*VLOOKUP(D2953,'报价表-配送'!$B$84:$I$88,3,0)*1000+IF(AND(MOD(H2953,30)&lt;0.02),H2953,0)*VLOOKUP(D2953,'报价表-配送'!$B$84:$I$88,2,0)*1000</f>
        <v>0</v>
      </c>
      <c r="N2953" s="127">
        <f t="shared" si="86"/>
        <v>0</v>
      </c>
    </row>
    <row r="2954" spans="1:14" x14ac:dyDescent="0.25">
      <c r="A2954" s="121" t="s">
        <v>111</v>
      </c>
      <c r="B2954" s="121" t="s">
        <v>120</v>
      </c>
      <c r="C2954" s="62">
        <f>VLOOKUP(B2954,合并仓明细!$D$2:$F$74,3,0)</f>
        <v>186</v>
      </c>
      <c r="D2954" s="122" t="s">
        <v>413</v>
      </c>
      <c r="E2954" s="123">
        <v>45945</v>
      </c>
      <c r="F2954" s="121" t="s">
        <v>66</v>
      </c>
      <c r="G2954" s="121">
        <v>156.05166665000002</v>
      </c>
      <c r="H2954" s="124">
        <v>0.15605166665</v>
      </c>
      <c r="I2954" s="125"/>
      <c r="J2954" s="125"/>
      <c r="K2954" s="125"/>
      <c r="L2954" s="37">
        <f>IF(H2954&gt;30,QUOTIENT(H2954,30)*VLOOKUP(D2954,'报价表-配送'!$B$84:$I$88,8,0),0)+IF(AND(MOD(H2954,30)&gt;18,MOD(H2954,30)&lt;=30),1,0)*VLOOKUP(D2954,'报价表-配送'!$B$84:$I$88,8,0)+IF(AND(MOD(H2954,30)&gt;8,MOD(H2954,30)&lt;=18),1*VLOOKUP(D2954,'报价表-配送'!$B$84:$I$88,7,0),0)+IF(AND(MOD(H2954,30)&lt;=8,MOD(H2954,30)&gt;2.5),1,0)*VLOOKUP(D2954,'报价表-配送'!$B$84:$I$88,6,0)+IF(AND(MOD(H2954,30)&lt;=2.5,MOD(H2954,30)&gt;=1.5),1,0)*VLOOKUP(D2954,'报价表-配送'!$B$84:$I$88,5,0)</f>
        <v>0</v>
      </c>
      <c r="M2954" s="39">
        <f>IF(AND(MOD(H2954,30)&lt;1.5,MOD(H2954,30)&gt;=0.5),H2954,0)*VLOOKUP(D2954,'报价表-配送'!$B$84:$I$88,4,0)*1000+IF(AND(MOD(H2954,30)&lt;0.5,MOD(H2954,30)&gt;=0.02),H2954,0)*VLOOKUP(D2954,'报价表-配送'!$B$84:$I$88,3,0)*1000+IF(AND(MOD(H2954,30)&lt;0.02),H2954,0)*VLOOKUP(D2954,'报价表-配送'!$B$84:$I$88,2,0)*1000</f>
        <v>0</v>
      </c>
      <c r="N2954" s="127">
        <f t="shared" si="86"/>
        <v>0</v>
      </c>
    </row>
    <row r="2955" spans="1:14" x14ac:dyDescent="0.25">
      <c r="A2955" s="121" t="s">
        <v>111</v>
      </c>
      <c r="B2955" s="121" t="s">
        <v>120</v>
      </c>
      <c r="C2955" s="62">
        <f>VLOOKUP(B2955,合并仓明细!$D$2:$F$74,3,0)</f>
        <v>186</v>
      </c>
      <c r="D2955" s="122" t="s">
        <v>413</v>
      </c>
      <c r="E2955" s="123">
        <v>45953</v>
      </c>
      <c r="F2955" s="121" t="s">
        <v>66</v>
      </c>
      <c r="G2955" s="121">
        <v>510.64333340000002</v>
      </c>
      <c r="H2955" s="124">
        <v>0.51064333340000001</v>
      </c>
      <c r="I2955" s="125"/>
      <c r="J2955" s="125"/>
      <c r="K2955" s="125"/>
      <c r="L2955" s="37">
        <f>IF(H2955&gt;30,QUOTIENT(H2955,30)*VLOOKUP(D2955,'报价表-配送'!$B$84:$I$88,8,0),0)+IF(AND(MOD(H2955,30)&gt;18,MOD(H2955,30)&lt;=30),1,0)*VLOOKUP(D2955,'报价表-配送'!$B$84:$I$88,8,0)+IF(AND(MOD(H2955,30)&gt;8,MOD(H2955,30)&lt;=18),1*VLOOKUP(D2955,'报价表-配送'!$B$84:$I$88,7,0),0)+IF(AND(MOD(H2955,30)&lt;=8,MOD(H2955,30)&gt;2.5),1,0)*VLOOKUP(D2955,'报价表-配送'!$B$84:$I$88,6,0)+IF(AND(MOD(H2955,30)&lt;=2.5,MOD(H2955,30)&gt;=1.5),1,0)*VLOOKUP(D2955,'报价表-配送'!$B$84:$I$88,5,0)</f>
        <v>0</v>
      </c>
      <c r="M2955" s="39">
        <f>IF(AND(MOD(H2955,30)&lt;1.5,MOD(H2955,30)&gt;=0.5),H2955,0)*VLOOKUP(D2955,'报价表-配送'!$B$84:$I$88,4,0)*1000+IF(AND(MOD(H2955,30)&lt;0.5,MOD(H2955,30)&gt;=0.02),H2955,0)*VLOOKUP(D2955,'报价表-配送'!$B$84:$I$88,3,0)*1000+IF(AND(MOD(H2955,30)&lt;0.02),H2955,0)*VLOOKUP(D2955,'报价表-配送'!$B$84:$I$88,2,0)*1000</f>
        <v>0</v>
      </c>
      <c r="N2955" s="127">
        <f t="shared" si="86"/>
        <v>0</v>
      </c>
    </row>
    <row r="2956" spans="1:14" x14ac:dyDescent="0.25">
      <c r="A2956" s="121" t="s">
        <v>111</v>
      </c>
      <c r="B2956" s="121" t="s">
        <v>120</v>
      </c>
      <c r="C2956" s="62">
        <f>VLOOKUP(B2956,合并仓明细!$D$2:$F$74,3,0)</f>
        <v>186</v>
      </c>
      <c r="D2956" s="122" t="s">
        <v>413</v>
      </c>
      <c r="E2956" s="123">
        <v>45957</v>
      </c>
      <c r="F2956" s="121" t="s">
        <v>68</v>
      </c>
      <c r="G2956" s="121">
        <v>1718.424</v>
      </c>
      <c r="H2956" s="124">
        <v>1.7423423333099999</v>
      </c>
      <c r="I2956" s="46">
        <f>ROUNDUP(H2956/30,0)*VLOOKUP(D2956,'报价表-配送'!$B$84:$I$88,8,0)</f>
        <v>0</v>
      </c>
      <c r="J2956" s="125"/>
      <c r="K2956" s="125"/>
      <c r="L2956" s="121"/>
      <c r="M2956" s="126"/>
      <c r="N2956" s="127">
        <f t="shared" si="86"/>
        <v>0</v>
      </c>
    </row>
    <row r="2957" spans="1:14" x14ac:dyDescent="0.25">
      <c r="A2957" s="121" t="s">
        <v>111</v>
      </c>
      <c r="B2957" s="121" t="s">
        <v>120</v>
      </c>
      <c r="C2957" s="62">
        <f>VLOOKUP(B2957,合并仓明细!$D$2:$F$74,3,0)</f>
        <v>186</v>
      </c>
      <c r="D2957" s="122" t="s">
        <v>413</v>
      </c>
      <c r="E2957" s="123">
        <v>45957</v>
      </c>
      <c r="F2957" s="121" t="s">
        <v>66</v>
      </c>
      <c r="G2957" s="121">
        <v>23.918333310000001</v>
      </c>
      <c r="H2957" s="124"/>
      <c r="I2957" s="125"/>
      <c r="J2957" s="125"/>
      <c r="K2957" s="125"/>
      <c r="L2957" s="121"/>
      <c r="M2957" s="126"/>
      <c r="N2957" s="121"/>
    </row>
    <row r="2958" spans="1:14" x14ac:dyDescent="0.25">
      <c r="A2958" s="121" t="s">
        <v>111</v>
      </c>
      <c r="B2958" s="121" t="s">
        <v>120</v>
      </c>
      <c r="C2958" s="62">
        <f>VLOOKUP(B2958,合并仓明细!$D$2:$F$74,3,0)</f>
        <v>186</v>
      </c>
      <c r="D2958" s="122" t="s">
        <v>413</v>
      </c>
      <c r="E2958" s="123">
        <v>45981</v>
      </c>
      <c r="F2958" s="121" t="s">
        <v>66</v>
      </c>
      <c r="G2958" s="121">
        <v>133.48000009999998</v>
      </c>
      <c r="H2958" s="124">
        <v>0.1334800001</v>
      </c>
      <c r="I2958" s="125"/>
      <c r="J2958" s="125"/>
      <c r="K2958" s="125"/>
      <c r="L2958" s="37">
        <f>IF(H2958&gt;30,QUOTIENT(H2958,30)*VLOOKUP(D2958,'报价表-配送'!$B$84:$I$88,8,0),0)+IF(AND(MOD(H2958,30)&gt;18,MOD(H2958,30)&lt;=30),1,0)*VLOOKUP(D2958,'报价表-配送'!$B$84:$I$88,8,0)+IF(AND(MOD(H2958,30)&gt;8,MOD(H2958,30)&lt;=18),1*VLOOKUP(D2958,'报价表-配送'!$B$84:$I$88,7,0),0)+IF(AND(MOD(H2958,30)&lt;=8,MOD(H2958,30)&gt;2.5),1,0)*VLOOKUP(D2958,'报价表-配送'!$B$84:$I$88,6,0)+IF(AND(MOD(H2958,30)&lt;=2.5,MOD(H2958,30)&gt;=1.5),1,0)*VLOOKUP(D2958,'报价表-配送'!$B$84:$I$88,5,0)</f>
        <v>0</v>
      </c>
      <c r="M2958" s="39">
        <f>IF(AND(MOD(H2958,30)&lt;1.5,MOD(H2958,30)&gt;=0.5),H2958,0)*VLOOKUP(D2958,'报价表-配送'!$B$84:$I$88,4,0)*1000+IF(AND(MOD(H2958,30)&lt;0.5,MOD(H2958,30)&gt;=0.02),H2958,0)*VLOOKUP(D2958,'报价表-配送'!$B$84:$I$88,3,0)*1000+IF(AND(MOD(H2958,30)&lt;0.02),H2958,0)*VLOOKUP(D2958,'报价表-配送'!$B$84:$I$88,2,0)*1000</f>
        <v>0</v>
      </c>
      <c r="N2958" s="127">
        <f t="shared" ref="N2958:N2959" si="87">SUM(I2958:L2958)</f>
        <v>0</v>
      </c>
    </row>
    <row r="2959" spans="1:14" x14ac:dyDescent="0.25">
      <c r="A2959" s="121" t="s">
        <v>111</v>
      </c>
      <c r="B2959" s="121" t="s">
        <v>120</v>
      </c>
      <c r="C2959" s="62">
        <f>VLOOKUP(B2959,合并仓明细!$D$2:$F$74,3,0)</f>
        <v>186</v>
      </c>
      <c r="D2959" s="122" t="s">
        <v>413</v>
      </c>
      <c r="E2959" s="123">
        <v>45987</v>
      </c>
      <c r="F2959" s="121" t="s">
        <v>68</v>
      </c>
      <c r="G2959" s="121">
        <v>437.76</v>
      </c>
      <c r="H2959" s="124">
        <v>1.6170627473299999</v>
      </c>
      <c r="I2959" s="46">
        <f>ROUNDUP(H2959/30,0)*VLOOKUP(D2959,'报价表-配送'!$B$84:$I$88,8,0)</f>
        <v>0</v>
      </c>
      <c r="J2959" s="125"/>
      <c r="K2959" s="125"/>
      <c r="L2959" s="121"/>
      <c r="M2959" s="126"/>
      <c r="N2959" s="127">
        <f t="shared" si="87"/>
        <v>0</v>
      </c>
    </row>
    <row r="2960" spans="1:14" x14ac:dyDescent="0.25">
      <c r="A2960" s="121" t="s">
        <v>111</v>
      </c>
      <c r="B2960" s="121" t="s">
        <v>120</v>
      </c>
      <c r="C2960" s="62">
        <f>VLOOKUP(B2960,合并仓明细!$D$2:$F$74,3,0)</f>
        <v>186</v>
      </c>
      <c r="D2960" s="122" t="s">
        <v>413</v>
      </c>
      <c r="E2960" s="123">
        <v>45987</v>
      </c>
      <c r="F2960" s="121" t="s">
        <v>67</v>
      </c>
      <c r="G2960" s="121">
        <v>1018.321914</v>
      </c>
      <c r="H2960" s="124"/>
      <c r="I2960" s="125"/>
      <c r="J2960" s="125"/>
      <c r="K2960" s="125"/>
      <c r="L2960" s="121"/>
      <c r="M2960" s="126"/>
      <c r="N2960" s="121"/>
    </row>
    <row r="2961" spans="1:14" x14ac:dyDescent="0.25">
      <c r="A2961" s="121" t="s">
        <v>111</v>
      </c>
      <c r="B2961" s="121" t="s">
        <v>120</v>
      </c>
      <c r="C2961" s="62">
        <f>VLOOKUP(B2961,合并仓明细!$D$2:$F$74,3,0)</f>
        <v>186</v>
      </c>
      <c r="D2961" s="122" t="s">
        <v>413</v>
      </c>
      <c r="E2961" s="123">
        <v>45987</v>
      </c>
      <c r="F2961" s="121" t="s">
        <v>66</v>
      </c>
      <c r="G2961" s="121">
        <v>160.98083333000002</v>
      </c>
      <c r="H2961" s="124"/>
      <c r="I2961" s="125"/>
      <c r="J2961" s="125"/>
      <c r="K2961" s="125"/>
      <c r="L2961" s="121"/>
      <c r="M2961" s="126"/>
      <c r="N2961" s="121"/>
    </row>
    <row r="2962" spans="1:14" x14ac:dyDescent="0.25">
      <c r="A2962" s="121" t="s">
        <v>111</v>
      </c>
      <c r="B2962" s="121" t="s">
        <v>120</v>
      </c>
      <c r="C2962" s="62">
        <f>VLOOKUP(B2962,合并仓明细!$D$2:$F$74,3,0)</f>
        <v>186</v>
      </c>
      <c r="D2962" s="122" t="s">
        <v>413</v>
      </c>
      <c r="E2962" s="123">
        <v>46000</v>
      </c>
      <c r="F2962" s="121" t="s">
        <v>66</v>
      </c>
      <c r="G2962" s="121">
        <v>69.460000000000008</v>
      </c>
      <c r="H2962" s="124">
        <v>6.9460000000000008E-2</v>
      </c>
      <c r="I2962" s="125"/>
      <c r="J2962" s="125"/>
      <c r="K2962" s="125"/>
      <c r="L2962" s="37">
        <f>IF(H2962&gt;30,QUOTIENT(H2962,30)*VLOOKUP(D2962,'报价表-配送'!$B$84:$I$88,8,0),0)+IF(AND(MOD(H2962,30)&gt;18,MOD(H2962,30)&lt;=30),1,0)*VLOOKUP(D2962,'报价表-配送'!$B$84:$I$88,8,0)+IF(AND(MOD(H2962,30)&gt;8,MOD(H2962,30)&lt;=18),1*VLOOKUP(D2962,'报价表-配送'!$B$84:$I$88,7,0),0)+IF(AND(MOD(H2962,30)&lt;=8,MOD(H2962,30)&gt;2.5),1,0)*VLOOKUP(D2962,'报价表-配送'!$B$84:$I$88,6,0)+IF(AND(MOD(H2962,30)&lt;=2.5,MOD(H2962,30)&gt;=1.5),1,0)*VLOOKUP(D2962,'报价表-配送'!$B$84:$I$88,5,0)</f>
        <v>0</v>
      </c>
      <c r="M2962" s="39">
        <f>IF(AND(MOD(H2962,30)&lt;1.5,MOD(H2962,30)&gt;=0.5),H2962,0)*VLOOKUP(D2962,'报价表-配送'!$B$84:$I$88,4,0)*1000+IF(AND(MOD(H2962,30)&lt;0.5,MOD(H2962,30)&gt;=0.02),H2962,0)*VLOOKUP(D2962,'报价表-配送'!$B$84:$I$88,3,0)*1000+IF(AND(MOD(H2962,30)&lt;0.02),H2962,0)*VLOOKUP(D2962,'报价表-配送'!$B$84:$I$88,2,0)*1000</f>
        <v>0</v>
      </c>
      <c r="N2962" s="127">
        <f t="shared" ref="N2962:N2963" si="88">SUM(I2962:L2962)</f>
        <v>0</v>
      </c>
    </row>
    <row r="2963" spans="1:14" x14ac:dyDescent="0.25">
      <c r="A2963" s="121" t="s">
        <v>111</v>
      </c>
      <c r="B2963" s="121" t="s">
        <v>120</v>
      </c>
      <c r="C2963" s="62">
        <f>VLOOKUP(B2963,合并仓明细!$D$2:$F$74,3,0)</f>
        <v>186</v>
      </c>
      <c r="D2963" s="122" t="s">
        <v>413</v>
      </c>
      <c r="E2963" s="123">
        <v>46009</v>
      </c>
      <c r="F2963" s="121" t="s">
        <v>68</v>
      </c>
      <c r="G2963" s="121">
        <v>1982.4720000000002</v>
      </c>
      <c r="H2963" s="124">
        <v>5.0875166332900008</v>
      </c>
      <c r="I2963" s="46">
        <f>ROUNDUP(H2963/30,0)*VLOOKUP(D2963,'报价表-配送'!$B$84:$I$88,8,0)</f>
        <v>0</v>
      </c>
      <c r="J2963" s="125"/>
      <c r="K2963" s="125"/>
      <c r="L2963" s="121"/>
      <c r="M2963" s="126"/>
      <c r="N2963" s="127">
        <f t="shared" si="88"/>
        <v>0</v>
      </c>
    </row>
    <row r="2964" spans="1:14" x14ac:dyDescent="0.25">
      <c r="A2964" s="121" t="s">
        <v>111</v>
      </c>
      <c r="B2964" s="121" t="s">
        <v>120</v>
      </c>
      <c r="C2964" s="62">
        <f>VLOOKUP(B2964,合并仓明细!$D$2:$F$74,3,0)</f>
        <v>186</v>
      </c>
      <c r="D2964" s="122" t="s">
        <v>413</v>
      </c>
      <c r="E2964" s="123">
        <v>46009</v>
      </c>
      <c r="F2964" s="121" t="s">
        <v>67</v>
      </c>
      <c r="G2964" s="121">
        <v>3041.9538000000002</v>
      </c>
      <c r="H2964" s="124"/>
      <c r="I2964" s="125"/>
      <c r="J2964" s="125"/>
      <c r="K2964" s="125"/>
      <c r="L2964" s="121"/>
      <c r="M2964" s="126"/>
      <c r="N2964" s="121"/>
    </row>
    <row r="2965" spans="1:14" x14ac:dyDescent="0.25">
      <c r="A2965" s="121" t="s">
        <v>111</v>
      </c>
      <c r="B2965" s="121" t="s">
        <v>120</v>
      </c>
      <c r="C2965" s="62">
        <f>VLOOKUP(B2965,合并仓明细!$D$2:$F$74,3,0)</f>
        <v>186</v>
      </c>
      <c r="D2965" s="122" t="s">
        <v>413</v>
      </c>
      <c r="E2965" s="123">
        <v>46009</v>
      </c>
      <c r="F2965" s="121" t="s">
        <v>66</v>
      </c>
      <c r="G2965" s="121">
        <v>63.090833289999992</v>
      </c>
      <c r="H2965" s="124"/>
      <c r="I2965" s="125"/>
      <c r="J2965" s="125"/>
      <c r="K2965" s="125"/>
      <c r="L2965" s="121"/>
      <c r="M2965" s="126"/>
      <c r="N2965" s="121"/>
    </row>
    <row r="2966" spans="1:14" x14ac:dyDescent="0.25">
      <c r="A2966" s="121" t="s">
        <v>111</v>
      </c>
      <c r="B2966" s="121" t="s">
        <v>120</v>
      </c>
      <c r="C2966" s="62">
        <f>VLOOKUP(B2966,合并仓明细!$D$2:$F$74,3,0)</f>
        <v>186</v>
      </c>
      <c r="D2966" s="122" t="s">
        <v>413</v>
      </c>
      <c r="E2966" s="123">
        <v>46017</v>
      </c>
      <c r="F2966" s="121" t="s">
        <v>66</v>
      </c>
      <c r="G2966" s="121">
        <v>215.64916661000001</v>
      </c>
      <c r="H2966" s="124">
        <v>0.21564916661</v>
      </c>
      <c r="I2966" s="125"/>
      <c r="J2966" s="125"/>
      <c r="K2966" s="125"/>
      <c r="L2966" s="37">
        <f>IF(H2966&gt;30,QUOTIENT(H2966,30)*VLOOKUP(D2966,'报价表-配送'!$B$84:$I$88,8,0),0)+IF(AND(MOD(H2966,30)&gt;18,MOD(H2966,30)&lt;=30),1,0)*VLOOKUP(D2966,'报价表-配送'!$B$84:$I$88,8,0)+IF(AND(MOD(H2966,30)&gt;8,MOD(H2966,30)&lt;=18),1*VLOOKUP(D2966,'报价表-配送'!$B$84:$I$88,7,0),0)+IF(AND(MOD(H2966,30)&lt;=8,MOD(H2966,30)&gt;2.5),1,0)*VLOOKUP(D2966,'报价表-配送'!$B$84:$I$88,6,0)+IF(AND(MOD(H2966,30)&lt;=2.5,MOD(H2966,30)&gt;=1.5),1,0)*VLOOKUP(D2966,'报价表-配送'!$B$84:$I$88,5,0)</f>
        <v>0</v>
      </c>
      <c r="M2966" s="39">
        <f>IF(AND(MOD(H2966,30)&lt;1.5,MOD(H2966,30)&gt;=0.5),H2966,0)*VLOOKUP(D2966,'报价表-配送'!$B$84:$I$88,4,0)*1000+IF(AND(MOD(H2966,30)&lt;0.5,MOD(H2966,30)&gt;=0.02),H2966,0)*VLOOKUP(D2966,'报价表-配送'!$B$84:$I$88,3,0)*1000+IF(AND(MOD(H2966,30)&lt;0.02),H2966,0)*VLOOKUP(D2966,'报价表-配送'!$B$84:$I$88,2,0)*1000</f>
        <v>0</v>
      </c>
      <c r="N2966" s="127">
        <f t="shared" ref="N2966:N2968" si="89">SUM(I2966:L2966)</f>
        <v>0</v>
      </c>
    </row>
    <row r="2967" spans="1:14" x14ac:dyDescent="0.25">
      <c r="A2967" s="121" t="s">
        <v>111</v>
      </c>
      <c r="B2967" s="121" t="s">
        <v>120</v>
      </c>
      <c r="C2967" s="62">
        <f>VLOOKUP(B2967,合并仓明细!$D$2:$F$74,3,0)</f>
        <v>186</v>
      </c>
      <c r="D2967" s="122" t="s">
        <v>413</v>
      </c>
      <c r="E2967" s="123">
        <v>46044</v>
      </c>
      <c r="F2967" s="121" t="s">
        <v>66</v>
      </c>
      <c r="G2967" s="121">
        <v>14.76</v>
      </c>
      <c r="H2967" s="124">
        <v>1.4760000000000001E-2</v>
      </c>
      <c r="I2967" s="125"/>
      <c r="J2967" s="125"/>
      <c r="K2967" s="125"/>
      <c r="L2967" s="37">
        <f>IF(H2967&gt;30,QUOTIENT(H2967,30)*VLOOKUP(D2967,'报价表-配送'!$B$84:$I$88,8,0),0)+IF(AND(MOD(H2967,30)&gt;18,MOD(H2967,30)&lt;=30),1,0)*VLOOKUP(D2967,'报价表-配送'!$B$84:$I$88,8,0)+IF(AND(MOD(H2967,30)&gt;8,MOD(H2967,30)&lt;=18),1*VLOOKUP(D2967,'报价表-配送'!$B$84:$I$88,7,0),0)+IF(AND(MOD(H2967,30)&lt;=8,MOD(H2967,30)&gt;2.5),1,0)*VLOOKUP(D2967,'报价表-配送'!$B$84:$I$88,6,0)+IF(AND(MOD(H2967,30)&lt;=2.5,MOD(H2967,30)&gt;=1.5),1,0)*VLOOKUP(D2967,'报价表-配送'!$B$84:$I$88,5,0)</f>
        <v>0</v>
      </c>
      <c r="M2967" s="39">
        <f>IF(AND(MOD(H2967,30)&lt;1.5,MOD(H2967,30)&gt;=0.5),H2967,0)*VLOOKUP(D2967,'报价表-配送'!$B$84:$I$88,4,0)*1000+IF(AND(MOD(H2967,30)&lt;0.5,MOD(H2967,30)&gt;=0.02),H2967,0)*VLOOKUP(D2967,'报价表-配送'!$B$84:$I$88,3,0)*1000+IF(AND(MOD(H2967,30)&lt;0.02),H2967,0)*VLOOKUP(D2967,'报价表-配送'!$B$84:$I$88,2,0)*1000</f>
        <v>0</v>
      </c>
      <c r="N2967" s="127">
        <f t="shared" si="89"/>
        <v>0</v>
      </c>
    </row>
    <row r="2968" spans="1:14" x14ac:dyDescent="0.25">
      <c r="A2968" s="121" t="s">
        <v>111</v>
      </c>
      <c r="B2968" s="121" t="s">
        <v>120</v>
      </c>
      <c r="C2968" s="62">
        <f>VLOOKUP(B2968,合并仓明细!$D$2:$F$74,3,0)</f>
        <v>186</v>
      </c>
      <c r="D2968" s="122" t="s">
        <v>413</v>
      </c>
      <c r="E2968" s="123">
        <v>46049</v>
      </c>
      <c r="F2968" s="121" t="s">
        <v>67</v>
      </c>
      <c r="G2968" s="121">
        <v>7985.9327057999999</v>
      </c>
      <c r="H2968" s="124">
        <v>8.5145518724099993</v>
      </c>
      <c r="I2968" s="38">
        <f>IF(H2968&gt;30,QUOTIENT(H2968,30)*VLOOKUP(D2968,'报价表-配送'!$B$84:$I$88,8,0),0)+IF(AND(MOD(H2968,30)&gt;18,MOD(H2968,30)&lt;=30),1,0)*VLOOKUP(D2968,'报价表-配送'!$B$84:$I$88,8,0)</f>
        <v>0</v>
      </c>
      <c r="J2968" s="38">
        <f>IF(AND(MOD(H2968,30)&gt;8,MOD(H2968,30)&lt;=18),1*VLOOKUP(D2968,'报价表-配送'!$B$84:$I$88,7,0),0)</f>
        <v>0</v>
      </c>
      <c r="K2968" s="38">
        <f>IF(AND(MOD(H2968,30)&lt;=8,MOD(H2968,30)&gt;0),1,0)*VLOOKUP(D2968,'报价表-配送'!$B$84:$I$88,6,0)</f>
        <v>0</v>
      </c>
      <c r="L2968" s="121"/>
      <c r="M2968" s="126"/>
      <c r="N2968" s="127">
        <f t="shared" si="89"/>
        <v>0</v>
      </c>
    </row>
    <row r="2969" spans="1:14" x14ac:dyDescent="0.25">
      <c r="A2969" s="121" t="s">
        <v>111</v>
      </c>
      <c r="B2969" s="121" t="s">
        <v>120</v>
      </c>
      <c r="C2969" s="62">
        <f>VLOOKUP(B2969,合并仓明细!$D$2:$F$74,3,0)</f>
        <v>186</v>
      </c>
      <c r="D2969" s="122" t="s">
        <v>413</v>
      </c>
      <c r="E2969" s="123">
        <v>46049</v>
      </c>
      <c r="F2969" s="121" t="s">
        <v>66</v>
      </c>
      <c r="G2969" s="121">
        <v>528.61916661000009</v>
      </c>
      <c r="H2969" s="124"/>
      <c r="I2969" s="125"/>
      <c r="J2969" s="125"/>
      <c r="K2969" s="125"/>
      <c r="L2969" s="121"/>
      <c r="M2969" s="126"/>
      <c r="N2969" s="121"/>
    </row>
    <row r="2970" spans="1:14" x14ac:dyDescent="0.25">
      <c r="A2970" s="121" t="s">
        <v>111</v>
      </c>
      <c r="B2970" s="121" t="s">
        <v>120</v>
      </c>
      <c r="C2970" s="62">
        <f>VLOOKUP(B2970,合并仓明细!$D$2:$F$74,3,0)</f>
        <v>186</v>
      </c>
      <c r="D2970" s="122" t="s">
        <v>413</v>
      </c>
      <c r="E2970" s="123">
        <v>46050</v>
      </c>
      <c r="F2970" s="121" t="s">
        <v>66</v>
      </c>
      <c r="G2970" s="121">
        <v>225.93833325</v>
      </c>
      <c r="H2970" s="124">
        <v>0.22593833325000001</v>
      </c>
      <c r="I2970" s="125"/>
      <c r="J2970" s="125"/>
      <c r="K2970" s="125"/>
      <c r="L2970" s="37">
        <f>IF(H2970&gt;30,QUOTIENT(H2970,30)*VLOOKUP(D2970,'报价表-配送'!$B$84:$I$88,8,0),0)+IF(AND(MOD(H2970,30)&gt;18,MOD(H2970,30)&lt;=30),1,0)*VLOOKUP(D2970,'报价表-配送'!$B$84:$I$88,8,0)+IF(AND(MOD(H2970,30)&gt;8,MOD(H2970,30)&lt;=18),1*VLOOKUP(D2970,'报价表-配送'!$B$84:$I$88,7,0),0)+IF(AND(MOD(H2970,30)&lt;=8,MOD(H2970,30)&gt;2.5),1,0)*VLOOKUP(D2970,'报价表-配送'!$B$84:$I$88,6,0)+IF(AND(MOD(H2970,30)&lt;=2.5,MOD(H2970,30)&gt;=1.5),1,0)*VLOOKUP(D2970,'报价表-配送'!$B$84:$I$88,5,0)</f>
        <v>0</v>
      </c>
      <c r="M2970" s="39">
        <f>IF(AND(MOD(H2970,30)&lt;1.5,MOD(H2970,30)&gt;=0.5),H2970,0)*VLOOKUP(D2970,'报价表-配送'!$B$84:$I$88,4,0)*1000+IF(AND(MOD(H2970,30)&lt;0.5,MOD(H2970,30)&gt;=0.02),H2970,0)*VLOOKUP(D2970,'报价表-配送'!$B$84:$I$88,3,0)*1000+IF(AND(MOD(H2970,30)&lt;0.02),H2970,0)*VLOOKUP(D2970,'报价表-配送'!$B$84:$I$88,2,0)*1000</f>
        <v>0</v>
      </c>
      <c r="N2970" s="127">
        <f t="shared" ref="N2970:N2974" si="90">SUM(I2970:L2970)</f>
        <v>0</v>
      </c>
    </row>
    <row r="2971" spans="1:14" x14ac:dyDescent="0.25">
      <c r="A2971" s="121" t="s">
        <v>111</v>
      </c>
      <c r="B2971" s="121" t="s">
        <v>120</v>
      </c>
      <c r="C2971" s="62">
        <f>VLOOKUP(B2971,合并仓明细!$D$2:$F$74,3,0)</f>
        <v>186</v>
      </c>
      <c r="D2971" s="122" t="s">
        <v>413</v>
      </c>
      <c r="E2971" s="123">
        <v>46090</v>
      </c>
      <c r="F2971" s="121" t="s">
        <v>66</v>
      </c>
      <c r="G2971" s="121">
        <v>117.53666664000001</v>
      </c>
      <c r="H2971" s="124">
        <v>0.11753666664000001</v>
      </c>
      <c r="I2971" s="125"/>
      <c r="J2971" s="125"/>
      <c r="K2971" s="125"/>
      <c r="L2971" s="37">
        <f>IF(H2971&gt;30,QUOTIENT(H2971,30)*VLOOKUP(D2971,'报价表-配送'!$B$84:$I$88,8,0),0)+IF(AND(MOD(H2971,30)&gt;18,MOD(H2971,30)&lt;=30),1,0)*VLOOKUP(D2971,'报价表-配送'!$B$84:$I$88,8,0)+IF(AND(MOD(H2971,30)&gt;8,MOD(H2971,30)&lt;=18),1*VLOOKUP(D2971,'报价表-配送'!$B$84:$I$88,7,0),0)+IF(AND(MOD(H2971,30)&lt;=8,MOD(H2971,30)&gt;2.5),1,0)*VLOOKUP(D2971,'报价表-配送'!$B$84:$I$88,6,0)+IF(AND(MOD(H2971,30)&lt;=2.5,MOD(H2971,30)&gt;=1.5),1,0)*VLOOKUP(D2971,'报价表-配送'!$B$84:$I$88,5,0)</f>
        <v>0</v>
      </c>
      <c r="M2971" s="39">
        <f>IF(AND(MOD(H2971,30)&lt;1.5,MOD(H2971,30)&gt;=0.5),H2971,0)*VLOOKUP(D2971,'报价表-配送'!$B$84:$I$88,4,0)*1000+IF(AND(MOD(H2971,30)&lt;0.5,MOD(H2971,30)&gt;=0.02),H2971,0)*VLOOKUP(D2971,'报价表-配送'!$B$84:$I$88,3,0)*1000+IF(AND(MOD(H2971,30)&lt;0.02),H2971,0)*VLOOKUP(D2971,'报价表-配送'!$B$84:$I$88,2,0)*1000</f>
        <v>0</v>
      </c>
      <c r="N2971" s="127">
        <f t="shared" si="90"/>
        <v>0</v>
      </c>
    </row>
    <row r="2972" spans="1:14" x14ac:dyDescent="0.25">
      <c r="A2972" s="121" t="s">
        <v>111</v>
      </c>
      <c r="B2972" s="121" t="s">
        <v>120</v>
      </c>
      <c r="C2972" s="62">
        <f>VLOOKUP(B2972,合并仓明细!$D$2:$F$74,3,0)</f>
        <v>186</v>
      </c>
      <c r="D2972" s="122" t="s">
        <v>413</v>
      </c>
      <c r="E2972" s="123">
        <v>46092</v>
      </c>
      <c r="F2972" s="121" t="s">
        <v>66</v>
      </c>
      <c r="G2972" s="121">
        <v>212.05500000000001</v>
      </c>
      <c r="H2972" s="124">
        <v>0.21205499999999999</v>
      </c>
      <c r="I2972" s="125"/>
      <c r="J2972" s="125"/>
      <c r="K2972" s="125"/>
      <c r="L2972" s="37">
        <f>IF(H2972&gt;30,QUOTIENT(H2972,30)*VLOOKUP(D2972,'报价表-配送'!$B$84:$I$88,8,0),0)+IF(AND(MOD(H2972,30)&gt;18,MOD(H2972,30)&lt;=30),1,0)*VLOOKUP(D2972,'报价表-配送'!$B$84:$I$88,8,0)+IF(AND(MOD(H2972,30)&gt;8,MOD(H2972,30)&lt;=18),1*VLOOKUP(D2972,'报价表-配送'!$B$84:$I$88,7,0),0)+IF(AND(MOD(H2972,30)&lt;=8,MOD(H2972,30)&gt;2.5),1,0)*VLOOKUP(D2972,'报价表-配送'!$B$84:$I$88,6,0)+IF(AND(MOD(H2972,30)&lt;=2.5,MOD(H2972,30)&gt;=1.5),1,0)*VLOOKUP(D2972,'报价表-配送'!$B$84:$I$88,5,0)</f>
        <v>0</v>
      </c>
      <c r="M2972" s="39">
        <f>IF(AND(MOD(H2972,30)&lt;1.5,MOD(H2972,30)&gt;=0.5),H2972,0)*VLOOKUP(D2972,'报价表-配送'!$B$84:$I$88,4,0)*1000+IF(AND(MOD(H2972,30)&lt;0.5,MOD(H2972,30)&gt;=0.02),H2972,0)*VLOOKUP(D2972,'报价表-配送'!$B$84:$I$88,3,0)*1000+IF(AND(MOD(H2972,30)&lt;0.02),H2972,0)*VLOOKUP(D2972,'报价表-配送'!$B$84:$I$88,2,0)*1000</f>
        <v>0</v>
      </c>
      <c r="N2972" s="127">
        <f t="shared" si="90"/>
        <v>0</v>
      </c>
    </row>
    <row r="2973" spans="1:14" x14ac:dyDescent="0.25">
      <c r="A2973" s="121" t="s">
        <v>111</v>
      </c>
      <c r="B2973" s="121" t="s">
        <v>120</v>
      </c>
      <c r="C2973" s="62">
        <f>VLOOKUP(B2973,合并仓明细!$D$2:$F$74,3,0)</f>
        <v>186</v>
      </c>
      <c r="D2973" s="122" t="s">
        <v>413</v>
      </c>
      <c r="E2973" s="123">
        <v>46099</v>
      </c>
      <c r="F2973" s="121" t="s">
        <v>66</v>
      </c>
      <c r="G2973" s="121">
        <v>1.57</v>
      </c>
      <c r="H2973" s="124">
        <v>1.57E-3</v>
      </c>
      <c r="I2973" s="125"/>
      <c r="J2973" s="125"/>
      <c r="K2973" s="125"/>
      <c r="L2973" s="37">
        <f>IF(H2973&gt;30,QUOTIENT(H2973,30)*VLOOKUP(D2973,'报价表-配送'!$B$84:$I$88,8,0),0)+IF(AND(MOD(H2973,30)&gt;18,MOD(H2973,30)&lt;=30),1,0)*VLOOKUP(D2973,'报价表-配送'!$B$84:$I$88,8,0)+IF(AND(MOD(H2973,30)&gt;8,MOD(H2973,30)&lt;=18),1*VLOOKUP(D2973,'报价表-配送'!$B$84:$I$88,7,0),0)+IF(AND(MOD(H2973,30)&lt;=8,MOD(H2973,30)&gt;2.5),1,0)*VLOOKUP(D2973,'报价表-配送'!$B$84:$I$88,6,0)+IF(AND(MOD(H2973,30)&lt;=2.5,MOD(H2973,30)&gt;=1.5),1,0)*VLOOKUP(D2973,'报价表-配送'!$B$84:$I$88,5,0)</f>
        <v>0</v>
      </c>
      <c r="M2973" s="39">
        <f>IF(AND(MOD(H2973,30)&lt;1.5,MOD(H2973,30)&gt;=0.5),H2973,0)*VLOOKUP(D2973,'报价表-配送'!$B$84:$I$88,4,0)*1000+IF(AND(MOD(H2973,30)&lt;0.5,MOD(H2973,30)&gt;=0.02),H2973,0)*VLOOKUP(D2973,'报价表-配送'!$B$84:$I$88,3,0)*1000+IF(AND(MOD(H2973,30)&lt;0.02),H2973,0)*VLOOKUP(D2973,'报价表-配送'!$B$84:$I$88,2,0)*1000</f>
        <v>0</v>
      </c>
      <c r="N2973" s="127">
        <f t="shared" si="90"/>
        <v>0</v>
      </c>
    </row>
    <row r="2974" spans="1:14" x14ac:dyDescent="0.25">
      <c r="A2974" s="121" t="s">
        <v>111</v>
      </c>
      <c r="B2974" s="121" t="s">
        <v>120</v>
      </c>
      <c r="C2974" s="62">
        <f>VLOOKUP(B2974,合并仓明细!$D$2:$F$74,3,0)</f>
        <v>186</v>
      </c>
      <c r="D2974" s="122" t="s">
        <v>413</v>
      </c>
      <c r="E2974" s="123">
        <v>46101</v>
      </c>
      <c r="F2974" s="121" t="s">
        <v>68</v>
      </c>
      <c r="G2974" s="121">
        <v>11.444189999999999</v>
      </c>
      <c r="H2974" s="124">
        <v>0.10264168999999998</v>
      </c>
      <c r="I2974" s="46">
        <f>ROUNDUP(H2974/30,0)*VLOOKUP(D2974,'报价表-配送'!$B$84:$I$88,8,0)</f>
        <v>0</v>
      </c>
      <c r="J2974" s="125"/>
      <c r="K2974" s="125"/>
      <c r="L2974" s="121"/>
      <c r="M2974" s="126"/>
      <c r="N2974" s="127">
        <f t="shared" si="90"/>
        <v>0</v>
      </c>
    </row>
    <row r="2975" spans="1:14" x14ac:dyDescent="0.25">
      <c r="A2975" s="121" t="s">
        <v>111</v>
      </c>
      <c r="B2975" s="121" t="s">
        <v>120</v>
      </c>
      <c r="C2975" s="62">
        <f>VLOOKUP(B2975,合并仓明细!$D$2:$F$74,3,0)</f>
        <v>186</v>
      </c>
      <c r="D2975" s="122" t="s">
        <v>413</v>
      </c>
      <c r="E2975" s="123">
        <v>46101</v>
      </c>
      <c r="F2975" s="121" t="s">
        <v>67</v>
      </c>
      <c r="G2975" s="121">
        <v>8.3699999999999992</v>
      </c>
      <c r="H2975" s="124"/>
      <c r="I2975" s="125"/>
      <c r="J2975" s="125"/>
      <c r="K2975" s="125"/>
      <c r="L2975" s="121"/>
      <c r="M2975" s="126"/>
      <c r="N2975" s="121"/>
    </row>
    <row r="2976" spans="1:14" x14ac:dyDescent="0.25">
      <c r="A2976" s="121" t="s">
        <v>111</v>
      </c>
      <c r="B2976" s="121" t="s">
        <v>120</v>
      </c>
      <c r="C2976" s="62">
        <f>VLOOKUP(B2976,合并仓明细!$D$2:$F$74,3,0)</f>
        <v>186</v>
      </c>
      <c r="D2976" s="122" t="s">
        <v>413</v>
      </c>
      <c r="E2976" s="123">
        <v>46101</v>
      </c>
      <c r="F2976" s="121" t="s">
        <v>66</v>
      </c>
      <c r="G2976" s="121">
        <v>82.827499999999986</v>
      </c>
      <c r="H2976" s="124"/>
      <c r="I2976" s="125"/>
      <c r="J2976" s="125"/>
      <c r="K2976" s="125"/>
      <c r="L2976" s="121"/>
      <c r="M2976" s="126"/>
      <c r="N2976" s="121"/>
    </row>
    <row r="2977" spans="1:14" x14ac:dyDescent="0.25">
      <c r="A2977" s="121" t="s">
        <v>111</v>
      </c>
      <c r="B2977" s="121" t="s">
        <v>120</v>
      </c>
      <c r="C2977" s="62">
        <f>VLOOKUP(B2977,合并仓明细!$D$2:$F$74,3,0)</f>
        <v>186</v>
      </c>
      <c r="D2977" s="122" t="s">
        <v>413</v>
      </c>
      <c r="E2977" s="123">
        <v>46104</v>
      </c>
      <c r="F2977" s="121" t="s">
        <v>66</v>
      </c>
      <c r="G2977" s="121">
        <v>28.682499999999997</v>
      </c>
      <c r="H2977" s="124">
        <v>2.8682499999999996E-2</v>
      </c>
      <c r="I2977" s="125"/>
      <c r="J2977" s="125"/>
      <c r="K2977" s="125"/>
      <c r="L2977" s="37">
        <f>IF(H2977&gt;30,QUOTIENT(H2977,30)*VLOOKUP(D2977,'报价表-配送'!$B$84:$I$88,8,0),0)+IF(AND(MOD(H2977,30)&gt;18,MOD(H2977,30)&lt;=30),1,0)*VLOOKUP(D2977,'报价表-配送'!$B$84:$I$88,8,0)+IF(AND(MOD(H2977,30)&gt;8,MOD(H2977,30)&lt;=18),1*VLOOKUP(D2977,'报价表-配送'!$B$84:$I$88,7,0),0)+IF(AND(MOD(H2977,30)&lt;=8,MOD(H2977,30)&gt;2.5),1,0)*VLOOKUP(D2977,'报价表-配送'!$B$84:$I$88,6,0)+IF(AND(MOD(H2977,30)&lt;=2.5,MOD(H2977,30)&gt;=1.5),1,0)*VLOOKUP(D2977,'报价表-配送'!$B$84:$I$88,5,0)</f>
        <v>0</v>
      </c>
      <c r="M2977" s="39">
        <f>IF(AND(MOD(H2977,30)&lt;1.5,MOD(H2977,30)&gt;=0.5),H2977,0)*VLOOKUP(D2977,'报价表-配送'!$B$84:$I$88,4,0)*1000+IF(AND(MOD(H2977,30)&lt;0.5,MOD(H2977,30)&gt;=0.02),H2977,0)*VLOOKUP(D2977,'报价表-配送'!$B$84:$I$88,3,0)*1000+IF(AND(MOD(H2977,30)&lt;0.02),H2977,0)*VLOOKUP(D2977,'报价表-配送'!$B$84:$I$88,2,0)*1000</f>
        <v>0</v>
      </c>
      <c r="N2977" s="127">
        <f t="shared" ref="N2977:N2978" si="91">SUM(I2977:L2977)</f>
        <v>0</v>
      </c>
    </row>
    <row r="2978" spans="1:14" x14ac:dyDescent="0.25">
      <c r="A2978" s="121" t="s">
        <v>111</v>
      </c>
      <c r="B2978" s="121" t="s">
        <v>121</v>
      </c>
      <c r="C2978" s="62">
        <f>VLOOKUP(B2978,合并仓明细!$D$2:$F$74,3,0)</f>
        <v>216</v>
      </c>
      <c r="D2978" s="122" t="s">
        <v>414</v>
      </c>
      <c r="E2978" s="123">
        <v>45967</v>
      </c>
      <c r="F2978" s="121" t="s">
        <v>67</v>
      </c>
      <c r="G2978" s="121">
        <v>8444.9760960000003</v>
      </c>
      <c r="H2978" s="124">
        <v>9.7696903800476189</v>
      </c>
      <c r="I2978" s="38">
        <f>IF(H2978&gt;30,QUOTIENT(H2978,30)*VLOOKUP(D2978,'报价表-配送'!$B$84:$I$88,8,0),0)+IF(AND(MOD(H2978,30)&gt;18,MOD(H2978,30)&lt;=30),1,0)*VLOOKUP(D2978,'报价表-配送'!$B$84:$I$88,8,0)</f>
        <v>0</v>
      </c>
      <c r="J2978" s="38">
        <f>IF(AND(MOD(H2978,30)&gt;8,MOD(H2978,30)&lt;=18),1*VLOOKUP(D2978,'报价表-配送'!$B$84:$I$88,7,0),0)</f>
        <v>0</v>
      </c>
      <c r="K2978" s="38">
        <f>IF(AND(MOD(H2978,30)&lt;=8,MOD(H2978,30)&gt;0),1,0)*VLOOKUP(D2978,'报价表-配送'!$B$84:$I$88,6,0)</f>
        <v>0</v>
      </c>
      <c r="L2978" s="121"/>
      <c r="M2978" s="126"/>
      <c r="N2978" s="127">
        <f t="shared" si="91"/>
        <v>0</v>
      </c>
    </row>
    <row r="2979" spans="1:14" x14ac:dyDescent="0.25">
      <c r="A2979" s="121" t="s">
        <v>111</v>
      </c>
      <c r="B2979" s="121" t="s">
        <v>121</v>
      </c>
      <c r="C2979" s="62">
        <f>VLOOKUP(B2979,合并仓明细!$D$2:$F$74,3,0)</f>
        <v>216</v>
      </c>
      <c r="D2979" s="122" t="s">
        <v>414</v>
      </c>
      <c r="E2979" s="123">
        <v>45967</v>
      </c>
      <c r="F2979" s="121" t="s">
        <v>66</v>
      </c>
      <c r="G2979" s="121">
        <v>1324.7142840476192</v>
      </c>
      <c r="H2979" s="124"/>
      <c r="I2979" s="125"/>
      <c r="J2979" s="125"/>
      <c r="K2979" s="125"/>
      <c r="L2979" s="121"/>
      <c r="M2979" s="126"/>
      <c r="N2979" s="121"/>
    </row>
    <row r="2980" spans="1:14" x14ac:dyDescent="0.25">
      <c r="A2980" s="121" t="s">
        <v>111</v>
      </c>
      <c r="B2980" s="121" t="s">
        <v>121</v>
      </c>
      <c r="C2980" s="62">
        <f>VLOOKUP(B2980,合并仓明细!$D$2:$F$74,3,0)</f>
        <v>216</v>
      </c>
      <c r="D2980" s="122" t="s">
        <v>414</v>
      </c>
      <c r="E2980" s="123">
        <v>45975</v>
      </c>
      <c r="F2980" s="121" t="s">
        <v>66</v>
      </c>
      <c r="G2980" s="121">
        <v>145.1</v>
      </c>
      <c r="H2980" s="124">
        <v>0.14510000000000001</v>
      </c>
      <c r="I2980" s="125"/>
      <c r="J2980" s="125"/>
      <c r="K2980" s="125"/>
      <c r="L2980" s="37">
        <f>IF(H2980&gt;30,QUOTIENT(H2980,30)*VLOOKUP(D2980,'报价表-配送'!$B$84:$I$88,8,0),0)+IF(AND(MOD(H2980,30)&gt;18,MOD(H2980,30)&lt;=30),1,0)*VLOOKUP(D2980,'报价表-配送'!$B$84:$I$88,8,0)+IF(AND(MOD(H2980,30)&gt;8,MOD(H2980,30)&lt;=18),1*VLOOKUP(D2980,'报价表-配送'!$B$84:$I$88,7,0),0)+IF(AND(MOD(H2980,30)&lt;=8,MOD(H2980,30)&gt;2.5),1,0)*VLOOKUP(D2980,'报价表-配送'!$B$84:$I$88,6,0)+IF(AND(MOD(H2980,30)&lt;=2.5,MOD(H2980,30)&gt;=1.5),1,0)*VLOOKUP(D2980,'报价表-配送'!$B$84:$I$88,5,0)</f>
        <v>0</v>
      </c>
      <c r="M2980" s="39">
        <f>IF(AND(MOD(H2980,30)&lt;1.5,MOD(H2980,30)&gt;=0.5),H2980,0)*VLOOKUP(D2980,'报价表-配送'!$B$84:$I$88,4,0)*1000+IF(AND(MOD(H2980,30)&lt;0.5,MOD(H2980,30)&gt;=0.02),H2980,0)*VLOOKUP(D2980,'报价表-配送'!$B$84:$I$88,3,0)*1000+IF(AND(MOD(H2980,30)&lt;0.02),H2980,0)*VLOOKUP(D2980,'报价表-配送'!$B$84:$I$88,2,0)*1000</f>
        <v>0</v>
      </c>
      <c r="N2980" s="127">
        <f t="shared" ref="N2980:N2982" si="92">SUM(I2980:L2980)</f>
        <v>0</v>
      </c>
    </row>
    <row r="2981" spans="1:14" x14ac:dyDescent="0.25">
      <c r="A2981" s="121" t="s">
        <v>111</v>
      </c>
      <c r="B2981" s="121" t="s">
        <v>121</v>
      </c>
      <c r="C2981" s="62">
        <f>VLOOKUP(B2981,合并仓明细!$D$2:$F$74,3,0)</f>
        <v>216</v>
      </c>
      <c r="D2981" s="122" t="s">
        <v>414</v>
      </c>
      <c r="E2981" s="123">
        <v>45996</v>
      </c>
      <c r="F2981" s="121" t="s">
        <v>67</v>
      </c>
      <c r="G2981" s="121">
        <v>3051.700272</v>
      </c>
      <c r="H2981" s="124">
        <v>3.0517002720000002</v>
      </c>
      <c r="I2981" s="38">
        <f>IF(H2981&gt;30,QUOTIENT(H2981,30)*VLOOKUP(D2981,'报价表-配送'!$B$84:$I$88,8,0),0)+IF(AND(MOD(H2981,30)&gt;18,MOD(H2981,30)&lt;=30),1,0)*VLOOKUP(D2981,'报价表-配送'!$B$84:$I$88,8,0)</f>
        <v>0</v>
      </c>
      <c r="J2981" s="38">
        <f>IF(AND(MOD(H2981,30)&gt;8,MOD(H2981,30)&lt;=18),1*VLOOKUP(D2981,'报价表-配送'!$B$84:$I$88,7,0),0)</f>
        <v>0</v>
      </c>
      <c r="K2981" s="38">
        <f>IF(AND(MOD(H2981,30)&lt;=8,MOD(H2981,30)&gt;0),1,0)*VLOOKUP(D2981,'报价表-配送'!$B$84:$I$88,6,0)</f>
        <v>0</v>
      </c>
      <c r="L2981" s="121"/>
      <c r="M2981" s="126"/>
      <c r="N2981" s="127">
        <f t="shared" si="92"/>
        <v>0</v>
      </c>
    </row>
    <row r="2982" spans="1:14" x14ac:dyDescent="0.25">
      <c r="A2982" s="121" t="s">
        <v>111</v>
      </c>
      <c r="B2982" s="121" t="s">
        <v>121</v>
      </c>
      <c r="C2982" s="62">
        <f>VLOOKUP(B2982,合并仓明细!$D$2:$F$74,3,0)</f>
        <v>216</v>
      </c>
      <c r="D2982" s="122" t="s">
        <v>414</v>
      </c>
      <c r="E2982" s="123">
        <v>46000</v>
      </c>
      <c r="F2982" s="121" t="s">
        <v>68</v>
      </c>
      <c r="G2982" s="121">
        <v>590.76432</v>
      </c>
      <c r="H2982" s="124">
        <v>0.9649643200000001</v>
      </c>
      <c r="I2982" s="46">
        <f>ROUNDUP(H2982/30,0)*VLOOKUP(D2982,'报价表-配送'!$B$84:$I$88,8,0)</f>
        <v>0</v>
      </c>
      <c r="J2982" s="125"/>
      <c r="K2982" s="125"/>
      <c r="L2982" s="121"/>
      <c r="M2982" s="126"/>
      <c r="N2982" s="127">
        <f t="shared" si="92"/>
        <v>0</v>
      </c>
    </row>
    <row r="2983" spans="1:14" x14ac:dyDescent="0.25">
      <c r="A2983" s="121" t="s">
        <v>111</v>
      </c>
      <c r="B2983" s="121" t="s">
        <v>121</v>
      </c>
      <c r="C2983" s="62">
        <f>VLOOKUP(B2983,合并仓明细!$D$2:$F$74,3,0)</f>
        <v>216</v>
      </c>
      <c r="D2983" s="122" t="s">
        <v>414</v>
      </c>
      <c r="E2983" s="123">
        <v>46000</v>
      </c>
      <c r="F2983" s="121" t="s">
        <v>66</v>
      </c>
      <c r="G2983" s="121">
        <v>374.2</v>
      </c>
      <c r="H2983" s="124"/>
      <c r="I2983" s="125"/>
      <c r="J2983" s="125"/>
      <c r="K2983" s="125"/>
      <c r="L2983" s="121"/>
      <c r="M2983" s="126"/>
      <c r="N2983" s="121"/>
    </row>
    <row r="2984" spans="1:14" x14ac:dyDescent="0.25">
      <c r="A2984" s="121" t="s">
        <v>111</v>
      </c>
      <c r="B2984" s="121" t="s">
        <v>121</v>
      </c>
      <c r="C2984" s="62">
        <f>VLOOKUP(B2984,合并仓明细!$D$2:$F$74,3,0)</f>
        <v>216</v>
      </c>
      <c r="D2984" s="122" t="s">
        <v>414</v>
      </c>
      <c r="E2984" s="123">
        <v>46009</v>
      </c>
      <c r="F2984" s="121" t="s">
        <v>67</v>
      </c>
      <c r="G2984" s="121">
        <v>4283.7306239999998</v>
      </c>
      <c r="H2984" s="124">
        <v>4.7349088864999995</v>
      </c>
      <c r="I2984" s="38">
        <f>IF(H2984&gt;30,QUOTIENT(H2984,30)*VLOOKUP(D2984,'报价表-配送'!$B$84:$I$88,8,0),0)+IF(AND(MOD(H2984,30)&gt;18,MOD(H2984,30)&lt;=30),1,0)*VLOOKUP(D2984,'报价表-配送'!$B$84:$I$88,8,0)</f>
        <v>0</v>
      </c>
      <c r="J2984" s="38">
        <f>IF(AND(MOD(H2984,30)&gt;8,MOD(H2984,30)&lt;=18),1*VLOOKUP(D2984,'报价表-配送'!$B$84:$I$88,7,0),0)</f>
        <v>0</v>
      </c>
      <c r="K2984" s="38">
        <f>IF(AND(MOD(H2984,30)&lt;=8,MOD(H2984,30)&gt;0),1,0)*VLOOKUP(D2984,'报价表-配送'!$B$84:$I$88,6,0)</f>
        <v>0</v>
      </c>
      <c r="L2984" s="121"/>
      <c r="M2984" s="126"/>
      <c r="N2984" s="127">
        <f t="shared" ref="N2984" si="93">SUM(I2984:L2984)</f>
        <v>0</v>
      </c>
    </row>
    <row r="2985" spans="1:14" x14ac:dyDescent="0.25">
      <c r="A2985" s="121" t="s">
        <v>111</v>
      </c>
      <c r="B2985" s="121" t="s">
        <v>121</v>
      </c>
      <c r="C2985" s="62">
        <f>VLOOKUP(B2985,合并仓明细!$D$2:$F$74,3,0)</f>
        <v>216</v>
      </c>
      <c r="D2985" s="122" t="s">
        <v>414</v>
      </c>
      <c r="E2985" s="123">
        <v>46009</v>
      </c>
      <c r="F2985" s="121" t="s">
        <v>66</v>
      </c>
      <c r="G2985" s="121">
        <v>451.17826249999996</v>
      </c>
      <c r="H2985" s="124"/>
      <c r="I2985" s="125"/>
      <c r="J2985" s="125"/>
      <c r="K2985" s="125"/>
      <c r="L2985" s="121"/>
      <c r="M2985" s="126"/>
      <c r="N2985" s="121"/>
    </row>
    <row r="2986" spans="1:14" x14ac:dyDescent="0.25">
      <c r="A2986" s="121" t="s">
        <v>111</v>
      </c>
      <c r="B2986" s="121" t="s">
        <v>121</v>
      </c>
      <c r="C2986" s="62">
        <f>VLOOKUP(B2986,合并仓明细!$D$2:$F$74,3,0)</f>
        <v>216</v>
      </c>
      <c r="D2986" s="122" t="s">
        <v>414</v>
      </c>
      <c r="E2986" s="123">
        <v>46016</v>
      </c>
      <c r="F2986" s="121" t="s">
        <v>68</v>
      </c>
      <c r="G2986" s="121">
        <v>211.21199999999999</v>
      </c>
      <c r="H2986" s="124">
        <v>0.94577199999999995</v>
      </c>
      <c r="I2986" s="46">
        <f>ROUNDUP(H2986/30,0)*VLOOKUP(D2986,'报价表-配送'!$B$84:$I$88,8,0)</f>
        <v>0</v>
      </c>
      <c r="J2986" s="125"/>
      <c r="K2986" s="125"/>
      <c r="L2986" s="121"/>
      <c r="M2986" s="126"/>
      <c r="N2986" s="127">
        <f t="shared" ref="N2986" si="94">SUM(I2986:L2986)</f>
        <v>0</v>
      </c>
    </row>
    <row r="2987" spans="1:14" x14ac:dyDescent="0.25">
      <c r="A2987" s="121" t="s">
        <v>111</v>
      </c>
      <c r="B2987" s="121" t="s">
        <v>121</v>
      </c>
      <c r="C2987" s="62">
        <f>VLOOKUP(B2987,合并仓明细!$D$2:$F$74,3,0)</f>
        <v>216</v>
      </c>
      <c r="D2987" s="122" t="s">
        <v>414</v>
      </c>
      <c r="E2987" s="123">
        <v>46016</v>
      </c>
      <c r="F2987" s="121" t="s">
        <v>67</v>
      </c>
      <c r="G2987" s="121">
        <v>241.56</v>
      </c>
      <c r="H2987" s="124"/>
      <c r="I2987" s="125"/>
      <c r="J2987" s="125"/>
      <c r="K2987" s="125"/>
      <c r="L2987" s="121"/>
      <c r="M2987" s="126"/>
      <c r="N2987" s="121"/>
    </row>
    <row r="2988" spans="1:14" x14ac:dyDescent="0.25">
      <c r="A2988" s="121" t="s">
        <v>111</v>
      </c>
      <c r="B2988" s="121" t="s">
        <v>121</v>
      </c>
      <c r="C2988" s="62">
        <f>VLOOKUP(B2988,合并仓明细!$D$2:$F$74,3,0)</f>
        <v>216</v>
      </c>
      <c r="D2988" s="122" t="s">
        <v>414</v>
      </c>
      <c r="E2988" s="123">
        <v>46016</v>
      </c>
      <c r="F2988" s="121" t="s">
        <v>66</v>
      </c>
      <c r="G2988" s="121">
        <v>493</v>
      </c>
      <c r="H2988" s="124"/>
      <c r="I2988" s="125"/>
      <c r="J2988" s="125"/>
      <c r="K2988" s="125"/>
      <c r="L2988" s="121"/>
      <c r="M2988" s="126"/>
      <c r="N2988" s="121"/>
    </row>
    <row r="2989" spans="1:14" x14ac:dyDescent="0.25">
      <c r="A2989" s="121" t="s">
        <v>111</v>
      </c>
      <c r="B2989" s="121" t="s">
        <v>121</v>
      </c>
      <c r="C2989" s="62">
        <f>VLOOKUP(B2989,合并仓明细!$D$2:$F$74,3,0)</f>
        <v>216</v>
      </c>
      <c r="D2989" s="122" t="s">
        <v>414</v>
      </c>
      <c r="E2989" s="123">
        <v>46029</v>
      </c>
      <c r="F2989" s="121" t="s">
        <v>66</v>
      </c>
      <c r="G2989" s="121">
        <v>400.41666499999997</v>
      </c>
      <c r="H2989" s="124">
        <v>0.40041666499999995</v>
      </c>
      <c r="I2989" s="125"/>
      <c r="J2989" s="125"/>
      <c r="K2989" s="125"/>
      <c r="L2989" s="37">
        <f>IF(H2989&gt;30,QUOTIENT(H2989,30)*VLOOKUP(D2989,'报价表-配送'!$B$84:$I$88,8,0),0)+IF(AND(MOD(H2989,30)&gt;18,MOD(H2989,30)&lt;=30),1,0)*VLOOKUP(D2989,'报价表-配送'!$B$84:$I$88,8,0)+IF(AND(MOD(H2989,30)&gt;8,MOD(H2989,30)&lt;=18),1*VLOOKUP(D2989,'报价表-配送'!$B$84:$I$88,7,0),0)+IF(AND(MOD(H2989,30)&lt;=8,MOD(H2989,30)&gt;2.5),1,0)*VLOOKUP(D2989,'报价表-配送'!$B$84:$I$88,6,0)+IF(AND(MOD(H2989,30)&lt;=2.5,MOD(H2989,30)&gt;=1.5),1,0)*VLOOKUP(D2989,'报价表-配送'!$B$84:$I$88,5,0)</f>
        <v>0</v>
      </c>
      <c r="M2989" s="39">
        <f>IF(AND(MOD(H2989,30)&lt;1.5,MOD(H2989,30)&gt;=0.5),H2989,0)*VLOOKUP(D2989,'报价表-配送'!$B$84:$I$88,4,0)*1000+IF(AND(MOD(H2989,30)&lt;0.5,MOD(H2989,30)&gt;=0.02),H2989,0)*VLOOKUP(D2989,'报价表-配送'!$B$84:$I$88,3,0)*1000+IF(AND(MOD(H2989,30)&lt;0.02),H2989,0)*VLOOKUP(D2989,'报价表-配送'!$B$84:$I$88,2,0)*1000</f>
        <v>0</v>
      </c>
      <c r="N2989" s="127">
        <f t="shared" ref="N2989:N2990" si="95">SUM(I2989:L2989)</f>
        <v>0</v>
      </c>
    </row>
    <row r="2990" spans="1:14" x14ac:dyDescent="0.25">
      <c r="A2990" s="121" t="s">
        <v>111</v>
      </c>
      <c r="B2990" s="121" t="s">
        <v>121</v>
      </c>
      <c r="C2990" s="62">
        <f>VLOOKUP(B2990,合并仓明细!$D$2:$F$74,3,0)</f>
        <v>216</v>
      </c>
      <c r="D2990" s="122" t="s">
        <v>414</v>
      </c>
      <c r="E2990" s="123">
        <v>46036</v>
      </c>
      <c r="F2990" s="121" t="s">
        <v>67</v>
      </c>
      <c r="G2990" s="121">
        <v>6748.1671178400002</v>
      </c>
      <c r="H2990" s="124">
        <v>8.7998361843400001</v>
      </c>
      <c r="I2990" s="38">
        <f>IF(H2990&gt;30,QUOTIENT(H2990,30)*VLOOKUP(D2990,'报价表-配送'!$B$84:$I$88,8,0),0)+IF(AND(MOD(H2990,30)&gt;18,MOD(H2990,30)&lt;=30),1,0)*VLOOKUP(D2990,'报价表-配送'!$B$84:$I$88,8,0)</f>
        <v>0</v>
      </c>
      <c r="J2990" s="38">
        <f>IF(AND(MOD(H2990,30)&gt;8,MOD(H2990,30)&lt;=18),1*VLOOKUP(D2990,'报价表-配送'!$B$84:$I$88,7,0),0)</f>
        <v>0</v>
      </c>
      <c r="K2990" s="38">
        <f>IF(AND(MOD(H2990,30)&lt;=8,MOD(H2990,30)&gt;0),1,0)*VLOOKUP(D2990,'报价表-配送'!$B$84:$I$88,6,0)</f>
        <v>0</v>
      </c>
      <c r="L2990" s="121"/>
      <c r="M2990" s="126"/>
      <c r="N2990" s="127">
        <f t="shared" si="95"/>
        <v>0</v>
      </c>
    </row>
    <row r="2991" spans="1:14" x14ac:dyDescent="0.25">
      <c r="A2991" s="121" t="s">
        <v>111</v>
      </c>
      <c r="B2991" s="121" t="s">
        <v>121</v>
      </c>
      <c r="C2991" s="62">
        <f>VLOOKUP(B2991,合并仓明细!$D$2:$F$74,3,0)</f>
        <v>216</v>
      </c>
      <c r="D2991" s="122" t="s">
        <v>414</v>
      </c>
      <c r="E2991" s="123">
        <v>46036</v>
      </c>
      <c r="F2991" s="121" t="s">
        <v>66</v>
      </c>
      <c r="G2991" s="121">
        <v>2051.6690664999996</v>
      </c>
      <c r="H2991" s="124"/>
      <c r="I2991" s="125"/>
      <c r="J2991" s="125"/>
      <c r="K2991" s="125"/>
      <c r="L2991" s="121"/>
      <c r="M2991" s="126"/>
      <c r="N2991" s="121"/>
    </row>
    <row r="2992" spans="1:14" x14ac:dyDescent="0.25">
      <c r="A2992" s="121" t="s">
        <v>111</v>
      </c>
      <c r="B2992" s="121" t="s">
        <v>121</v>
      </c>
      <c r="C2992" s="62">
        <f>VLOOKUP(B2992,合并仓明细!$D$2:$F$74,3,0)</f>
        <v>216</v>
      </c>
      <c r="D2992" s="122" t="s">
        <v>414</v>
      </c>
      <c r="E2992" s="123">
        <v>46058</v>
      </c>
      <c r="F2992" s="121" t="s">
        <v>66</v>
      </c>
      <c r="G2992" s="121">
        <v>118.96100415999999</v>
      </c>
      <c r="H2992" s="124">
        <v>0.11896100415999998</v>
      </c>
      <c r="I2992" s="125"/>
      <c r="J2992" s="125"/>
      <c r="K2992" s="125"/>
      <c r="L2992" s="37">
        <f>IF(H2992&gt;30,QUOTIENT(H2992,30)*VLOOKUP(D2992,'报价表-配送'!$B$84:$I$88,8,0),0)+IF(AND(MOD(H2992,30)&gt;18,MOD(H2992,30)&lt;=30),1,0)*VLOOKUP(D2992,'报价表-配送'!$B$84:$I$88,8,0)+IF(AND(MOD(H2992,30)&gt;8,MOD(H2992,30)&lt;=18),1*VLOOKUP(D2992,'报价表-配送'!$B$84:$I$88,7,0),0)+IF(AND(MOD(H2992,30)&lt;=8,MOD(H2992,30)&gt;2.5),1,0)*VLOOKUP(D2992,'报价表-配送'!$B$84:$I$88,6,0)+IF(AND(MOD(H2992,30)&lt;=2.5,MOD(H2992,30)&gt;=1.5),1,0)*VLOOKUP(D2992,'报价表-配送'!$B$84:$I$88,5,0)</f>
        <v>0</v>
      </c>
      <c r="M2992" s="39">
        <f>IF(AND(MOD(H2992,30)&lt;1.5,MOD(H2992,30)&gt;=0.5),H2992,0)*VLOOKUP(D2992,'报价表-配送'!$B$84:$I$88,4,0)*1000+IF(AND(MOD(H2992,30)&lt;0.5,MOD(H2992,30)&gt;=0.02),H2992,0)*VLOOKUP(D2992,'报价表-配送'!$B$84:$I$88,3,0)*1000+IF(AND(MOD(H2992,30)&lt;0.02),H2992,0)*VLOOKUP(D2992,'报价表-配送'!$B$84:$I$88,2,0)*1000</f>
        <v>0</v>
      </c>
      <c r="N2992" s="127">
        <f t="shared" ref="N2992:N2995" si="96">SUM(I2992:L2992)</f>
        <v>0</v>
      </c>
    </row>
    <row r="2993" spans="1:14" x14ac:dyDescent="0.25">
      <c r="A2993" s="121" t="s">
        <v>111</v>
      </c>
      <c r="B2993" s="121" t="s">
        <v>121</v>
      </c>
      <c r="C2993" s="62">
        <f>VLOOKUP(B2993,合并仓明细!$D$2:$F$74,3,0)</f>
        <v>216</v>
      </c>
      <c r="D2993" s="122" t="s">
        <v>414</v>
      </c>
      <c r="E2993" s="123">
        <v>46064</v>
      </c>
      <c r="F2993" s="121" t="s">
        <v>66</v>
      </c>
      <c r="G2993" s="121">
        <v>30.061039270000002</v>
      </c>
      <c r="H2993" s="124">
        <v>3.0061039270000003E-2</v>
      </c>
      <c r="I2993" s="125"/>
      <c r="J2993" s="125"/>
      <c r="K2993" s="125"/>
      <c r="L2993" s="37">
        <f>IF(H2993&gt;30,QUOTIENT(H2993,30)*VLOOKUP(D2993,'报价表-配送'!$B$84:$I$88,8,0),0)+IF(AND(MOD(H2993,30)&gt;18,MOD(H2993,30)&lt;=30),1,0)*VLOOKUP(D2993,'报价表-配送'!$B$84:$I$88,8,0)+IF(AND(MOD(H2993,30)&gt;8,MOD(H2993,30)&lt;=18),1*VLOOKUP(D2993,'报价表-配送'!$B$84:$I$88,7,0),0)+IF(AND(MOD(H2993,30)&lt;=8,MOD(H2993,30)&gt;2.5),1,0)*VLOOKUP(D2993,'报价表-配送'!$B$84:$I$88,6,0)+IF(AND(MOD(H2993,30)&lt;=2.5,MOD(H2993,30)&gt;=1.5),1,0)*VLOOKUP(D2993,'报价表-配送'!$B$84:$I$88,5,0)</f>
        <v>0</v>
      </c>
      <c r="M2993" s="39">
        <f>IF(AND(MOD(H2993,30)&lt;1.5,MOD(H2993,30)&gt;=0.5),H2993,0)*VLOOKUP(D2993,'报价表-配送'!$B$84:$I$88,4,0)*1000+IF(AND(MOD(H2993,30)&lt;0.5,MOD(H2993,30)&gt;=0.02),H2993,0)*VLOOKUP(D2993,'报价表-配送'!$B$84:$I$88,3,0)*1000+IF(AND(MOD(H2993,30)&lt;0.02),H2993,0)*VLOOKUP(D2993,'报价表-配送'!$B$84:$I$88,2,0)*1000</f>
        <v>0</v>
      </c>
      <c r="N2993" s="127">
        <f t="shared" si="96"/>
        <v>0</v>
      </c>
    </row>
    <row r="2994" spans="1:14" x14ac:dyDescent="0.25">
      <c r="A2994" s="121" t="s">
        <v>111</v>
      </c>
      <c r="B2994" s="121" t="s">
        <v>121</v>
      </c>
      <c r="C2994" s="62">
        <f>VLOOKUP(B2994,合并仓明细!$D$2:$F$74,3,0)</f>
        <v>216</v>
      </c>
      <c r="D2994" s="122" t="s">
        <v>414</v>
      </c>
      <c r="E2994" s="123">
        <v>46086</v>
      </c>
      <c r="F2994" s="121" t="s">
        <v>66</v>
      </c>
      <c r="G2994" s="121">
        <v>1346.878571</v>
      </c>
      <c r="H2994" s="124">
        <v>1.346878571</v>
      </c>
      <c r="I2994" s="125"/>
      <c r="J2994" s="125"/>
      <c r="K2994" s="125"/>
      <c r="L2994" s="37">
        <f>IF(H2994&gt;30,QUOTIENT(H2994,30)*VLOOKUP(D2994,'报价表-配送'!$B$84:$I$88,8,0),0)+IF(AND(MOD(H2994,30)&gt;18,MOD(H2994,30)&lt;=30),1,0)*VLOOKUP(D2994,'报价表-配送'!$B$84:$I$88,8,0)+IF(AND(MOD(H2994,30)&gt;8,MOD(H2994,30)&lt;=18),1*VLOOKUP(D2994,'报价表-配送'!$B$84:$I$88,7,0),0)+IF(AND(MOD(H2994,30)&lt;=8,MOD(H2994,30)&gt;2.5),1,0)*VLOOKUP(D2994,'报价表-配送'!$B$84:$I$88,6,0)+IF(AND(MOD(H2994,30)&lt;=2.5,MOD(H2994,30)&gt;=1.5),1,0)*VLOOKUP(D2994,'报价表-配送'!$B$84:$I$88,5,0)</f>
        <v>0</v>
      </c>
      <c r="M2994" s="39">
        <f>IF(AND(MOD(H2994,30)&lt;1.5,MOD(H2994,30)&gt;=0.5),H2994,0)*VLOOKUP(D2994,'报价表-配送'!$B$84:$I$88,4,0)*1000+IF(AND(MOD(H2994,30)&lt;0.5,MOD(H2994,30)&gt;=0.02),H2994,0)*VLOOKUP(D2994,'报价表-配送'!$B$84:$I$88,3,0)*1000+IF(AND(MOD(H2994,30)&lt;0.02),H2994,0)*VLOOKUP(D2994,'报价表-配送'!$B$84:$I$88,2,0)*1000</f>
        <v>0</v>
      </c>
      <c r="N2994" s="127">
        <f t="shared" si="96"/>
        <v>0</v>
      </c>
    </row>
    <row r="2995" spans="1:14" x14ac:dyDescent="0.25">
      <c r="A2995" s="121" t="s">
        <v>111</v>
      </c>
      <c r="B2995" s="121" t="s">
        <v>122</v>
      </c>
      <c r="C2995" s="62">
        <f>VLOOKUP(B2995,合并仓明细!$D$2:$F$74,3,0)</f>
        <v>187</v>
      </c>
      <c r="D2995" s="122" t="s">
        <v>413</v>
      </c>
      <c r="E2995" s="123">
        <v>45944</v>
      </c>
      <c r="F2995" s="121" t="s">
        <v>67</v>
      </c>
      <c r="G2995" s="121">
        <v>5755.3935059999994</v>
      </c>
      <c r="H2995" s="124">
        <v>6.2345267013999992</v>
      </c>
      <c r="I2995" s="38">
        <f>IF(H2995&gt;30,QUOTIENT(H2995,30)*VLOOKUP(D2995,'报价表-配送'!$B$84:$I$88,8,0),0)+IF(AND(MOD(H2995,30)&gt;18,MOD(H2995,30)&lt;=30),1,0)*VLOOKUP(D2995,'报价表-配送'!$B$84:$I$88,8,0)</f>
        <v>0</v>
      </c>
      <c r="J2995" s="38">
        <f>IF(AND(MOD(H2995,30)&gt;8,MOD(H2995,30)&lt;=18),1*VLOOKUP(D2995,'报价表-配送'!$B$84:$I$88,7,0),0)</f>
        <v>0</v>
      </c>
      <c r="K2995" s="38">
        <f>IF(AND(MOD(H2995,30)&lt;=8,MOD(H2995,30)&gt;0),1,0)*VLOOKUP(D2995,'报价表-配送'!$B$84:$I$88,6,0)</f>
        <v>0</v>
      </c>
      <c r="L2995" s="121"/>
      <c r="M2995" s="126"/>
      <c r="N2995" s="127">
        <f t="shared" si="96"/>
        <v>0</v>
      </c>
    </row>
    <row r="2996" spans="1:14" x14ac:dyDescent="0.25">
      <c r="A2996" s="121" t="s">
        <v>111</v>
      </c>
      <c r="B2996" s="121" t="s">
        <v>122</v>
      </c>
      <c r="C2996" s="62">
        <f>VLOOKUP(B2996,合并仓明细!$D$2:$F$74,3,0)</f>
        <v>187</v>
      </c>
      <c r="D2996" s="122" t="s">
        <v>413</v>
      </c>
      <c r="E2996" s="123">
        <v>45944</v>
      </c>
      <c r="F2996" s="121" t="s">
        <v>66</v>
      </c>
      <c r="G2996" s="121">
        <v>479.13319539999998</v>
      </c>
      <c r="H2996" s="124"/>
      <c r="I2996" s="125"/>
      <c r="J2996" s="125"/>
      <c r="K2996" s="125"/>
      <c r="L2996" s="121"/>
      <c r="M2996" s="126"/>
      <c r="N2996" s="121"/>
    </row>
    <row r="2997" spans="1:14" x14ac:dyDescent="0.25">
      <c r="A2997" s="121" t="s">
        <v>111</v>
      </c>
      <c r="B2997" s="121" t="s">
        <v>122</v>
      </c>
      <c r="C2997" s="62">
        <f>VLOOKUP(B2997,合并仓明细!$D$2:$F$74,3,0)</f>
        <v>187</v>
      </c>
      <c r="D2997" s="122" t="s">
        <v>413</v>
      </c>
      <c r="E2997" s="123">
        <v>45958</v>
      </c>
      <c r="F2997" s="121" t="s">
        <v>66</v>
      </c>
      <c r="G2997" s="121">
        <v>545.36803057999998</v>
      </c>
      <c r="H2997" s="124">
        <v>0.54536803057999994</v>
      </c>
      <c r="I2997" s="125"/>
      <c r="J2997" s="125"/>
      <c r="K2997" s="125"/>
      <c r="L2997" s="37">
        <f>IF(H2997&gt;30,QUOTIENT(H2997,30)*VLOOKUP(D2997,'报价表-配送'!$B$84:$I$88,8,0),0)+IF(AND(MOD(H2997,30)&gt;18,MOD(H2997,30)&lt;=30),1,0)*VLOOKUP(D2997,'报价表-配送'!$B$84:$I$88,8,0)+IF(AND(MOD(H2997,30)&gt;8,MOD(H2997,30)&lt;=18),1*VLOOKUP(D2997,'报价表-配送'!$B$84:$I$88,7,0),0)+IF(AND(MOD(H2997,30)&lt;=8,MOD(H2997,30)&gt;2.5),1,0)*VLOOKUP(D2997,'报价表-配送'!$B$84:$I$88,6,0)+IF(AND(MOD(H2997,30)&lt;=2.5,MOD(H2997,30)&gt;=1.5),1,0)*VLOOKUP(D2997,'报价表-配送'!$B$84:$I$88,5,0)</f>
        <v>0</v>
      </c>
      <c r="M2997" s="39">
        <f>IF(AND(MOD(H2997,30)&lt;1.5,MOD(H2997,30)&gt;=0.5),H2997,0)*VLOOKUP(D2997,'报价表-配送'!$B$84:$I$88,4,0)*1000+IF(AND(MOD(H2997,30)&lt;0.5,MOD(H2997,30)&gt;=0.02),H2997,0)*VLOOKUP(D2997,'报价表-配送'!$B$84:$I$88,3,0)*1000+IF(AND(MOD(H2997,30)&lt;0.02),H2997,0)*VLOOKUP(D2997,'报价表-配送'!$B$84:$I$88,2,0)*1000</f>
        <v>0</v>
      </c>
      <c r="N2997" s="127">
        <f t="shared" ref="N2997:N2998" si="97">SUM(I2997:L2997)</f>
        <v>0</v>
      </c>
    </row>
    <row r="2998" spans="1:14" x14ac:dyDescent="0.25">
      <c r="A2998" s="121" t="s">
        <v>111</v>
      </c>
      <c r="B2998" s="121" t="s">
        <v>122</v>
      </c>
      <c r="C2998" s="62">
        <f>VLOOKUP(B2998,合并仓明细!$D$2:$F$74,3,0)</f>
        <v>187</v>
      </c>
      <c r="D2998" s="122" t="s">
        <v>413</v>
      </c>
      <c r="E2998" s="123">
        <v>45967</v>
      </c>
      <c r="F2998" s="121" t="s">
        <v>67</v>
      </c>
      <c r="G2998" s="121">
        <v>4300.7394000000004</v>
      </c>
      <c r="H2998" s="124">
        <v>4.5861210664400005</v>
      </c>
      <c r="I2998" s="38">
        <f>IF(H2998&gt;30,QUOTIENT(H2998,30)*VLOOKUP(D2998,'报价表-配送'!$B$84:$I$88,8,0),0)+IF(AND(MOD(H2998,30)&gt;18,MOD(H2998,30)&lt;=30),1,0)*VLOOKUP(D2998,'报价表-配送'!$B$84:$I$88,8,0)</f>
        <v>0</v>
      </c>
      <c r="J2998" s="38">
        <f>IF(AND(MOD(H2998,30)&gt;8,MOD(H2998,30)&lt;=18),1*VLOOKUP(D2998,'报价表-配送'!$B$84:$I$88,7,0),0)</f>
        <v>0</v>
      </c>
      <c r="K2998" s="38">
        <f>IF(AND(MOD(H2998,30)&lt;=8,MOD(H2998,30)&gt;0),1,0)*VLOOKUP(D2998,'报价表-配送'!$B$84:$I$88,6,0)</f>
        <v>0</v>
      </c>
      <c r="L2998" s="121"/>
      <c r="M2998" s="126"/>
      <c r="N2998" s="127">
        <f t="shared" si="97"/>
        <v>0</v>
      </c>
    </row>
    <row r="2999" spans="1:14" x14ac:dyDescent="0.25">
      <c r="A2999" s="121" t="s">
        <v>111</v>
      </c>
      <c r="B2999" s="121" t="s">
        <v>122</v>
      </c>
      <c r="C2999" s="62">
        <f>VLOOKUP(B2999,合并仓明细!$D$2:$F$74,3,0)</f>
        <v>187</v>
      </c>
      <c r="D2999" s="122" t="s">
        <v>413</v>
      </c>
      <c r="E2999" s="123">
        <v>45967</v>
      </c>
      <c r="F2999" s="121" t="s">
        <v>66</v>
      </c>
      <c r="G2999" s="121">
        <v>285.38166643999995</v>
      </c>
      <c r="H2999" s="124"/>
      <c r="I2999" s="125"/>
      <c r="J2999" s="125"/>
      <c r="K2999" s="125"/>
      <c r="L2999" s="121"/>
      <c r="M2999" s="126"/>
      <c r="N2999" s="121"/>
    </row>
    <row r="3000" spans="1:14" x14ac:dyDescent="0.25">
      <c r="A3000" s="121" t="s">
        <v>111</v>
      </c>
      <c r="B3000" s="121" t="s">
        <v>122</v>
      </c>
      <c r="C3000" s="62">
        <f>VLOOKUP(B3000,合并仓明细!$D$2:$F$74,3,0)</f>
        <v>187</v>
      </c>
      <c r="D3000" s="122" t="s">
        <v>413</v>
      </c>
      <c r="E3000" s="123">
        <v>45981</v>
      </c>
      <c r="F3000" s="121" t="s">
        <v>66</v>
      </c>
      <c r="G3000" s="121">
        <v>452.60999999000006</v>
      </c>
      <c r="H3000" s="124">
        <v>0.45260999999000007</v>
      </c>
      <c r="I3000" s="125"/>
      <c r="J3000" s="125"/>
      <c r="K3000" s="125"/>
      <c r="L3000" s="37">
        <f>IF(H3000&gt;30,QUOTIENT(H3000,30)*VLOOKUP(D3000,'报价表-配送'!$B$84:$I$88,8,0),0)+IF(AND(MOD(H3000,30)&gt;18,MOD(H3000,30)&lt;=30),1,0)*VLOOKUP(D3000,'报价表-配送'!$B$84:$I$88,8,0)+IF(AND(MOD(H3000,30)&gt;8,MOD(H3000,30)&lt;=18),1*VLOOKUP(D3000,'报价表-配送'!$B$84:$I$88,7,0),0)+IF(AND(MOD(H3000,30)&lt;=8,MOD(H3000,30)&gt;2.5),1,0)*VLOOKUP(D3000,'报价表-配送'!$B$84:$I$88,6,0)+IF(AND(MOD(H3000,30)&lt;=2.5,MOD(H3000,30)&gt;=1.5),1,0)*VLOOKUP(D3000,'报价表-配送'!$B$84:$I$88,5,0)</f>
        <v>0</v>
      </c>
      <c r="M3000" s="39">
        <f>IF(AND(MOD(H3000,30)&lt;1.5,MOD(H3000,30)&gt;=0.5),H3000,0)*VLOOKUP(D3000,'报价表-配送'!$B$84:$I$88,4,0)*1000+IF(AND(MOD(H3000,30)&lt;0.5,MOD(H3000,30)&gt;=0.02),H3000,0)*VLOOKUP(D3000,'报价表-配送'!$B$84:$I$88,3,0)*1000+IF(AND(MOD(H3000,30)&lt;0.02),H3000,0)*VLOOKUP(D3000,'报价表-配送'!$B$84:$I$88,2,0)*1000</f>
        <v>0</v>
      </c>
      <c r="N3000" s="127">
        <f t="shared" ref="N3000:N3001" si="98">SUM(I3000:L3000)</f>
        <v>0</v>
      </c>
    </row>
    <row r="3001" spans="1:14" x14ac:dyDescent="0.25">
      <c r="A3001" s="121" t="s">
        <v>111</v>
      </c>
      <c r="B3001" s="121" t="s">
        <v>122</v>
      </c>
      <c r="C3001" s="62">
        <f>VLOOKUP(B3001,合并仓明细!$D$2:$F$74,3,0)</f>
        <v>187</v>
      </c>
      <c r="D3001" s="122" t="s">
        <v>413</v>
      </c>
      <c r="E3001" s="123">
        <v>45987</v>
      </c>
      <c r="F3001" s="121" t="s">
        <v>67</v>
      </c>
      <c r="G3001" s="121">
        <v>2800.7679099999996</v>
      </c>
      <c r="H3001" s="124">
        <v>2.8310729099999996</v>
      </c>
      <c r="I3001" s="38">
        <f>IF(H3001&gt;30,QUOTIENT(H3001,30)*VLOOKUP(D3001,'报价表-配送'!$B$84:$I$88,8,0),0)+IF(AND(MOD(H3001,30)&gt;18,MOD(H3001,30)&lt;=30),1,0)*VLOOKUP(D3001,'报价表-配送'!$B$84:$I$88,8,0)</f>
        <v>0</v>
      </c>
      <c r="J3001" s="38">
        <f>IF(AND(MOD(H3001,30)&gt;8,MOD(H3001,30)&lt;=18),1*VLOOKUP(D3001,'报价表-配送'!$B$84:$I$88,7,0),0)</f>
        <v>0</v>
      </c>
      <c r="K3001" s="38">
        <f>IF(AND(MOD(H3001,30)&lt;=8,MOD(H3001,30)&gt;0),1,0)*VLOOKUP(D3001,'报价表-配送'!$B$84:$I$88,6,0)</f>
        <v>0</v>
      </c>
      <c r="L3001" s="121"/>
      <c r="M3001" s="126"/>
      <c r="N3001" s="127">
        <f t="shared" si="98"/>
        <v>0</v>
      </c>
    </row>
    <row r="3002" spans="1:14" x14ac:dyDescent="0.25">
      <c r="A3002" s="121" t="s">
        <v>111</v>
      </c>
      <c r="B3002" s="121" t="s">
        <v>122</v>
      </c>
      <c r="C3002" s="62">
        <f>VLOOKUP(B3002,合并仓明细!$D$2:$F$74,3,0)</f>
        <v>187</v>
      </c>
      <c r="D3002" s="122" t="s">
        <v>413</v>
      </c>
      <c r="E3002" s="123">
        <v>45987</v>
      </c>
      <c r="F3002" s="121" t="s">
        <v>66</v>
      </c>
      <c r="G3002" s="121">
        <v>30.305</v>
      </c>
      <c r="H3002" s="124"/>
      <c r="I3002" s="125"/>
      <c r="J3002" s="125"/>
      <c r="K3002" s="125"/>
      <c r="L3002" s="121"/>
      <c r="M3002" s="126"/>
      <c r="N3002" s="121"/>
    </row>
    <row r="3003" spans="1:14" x14ac:dyDescent="0.25">
      <c r="A3003" s="121" t="s">
        <v>111</v>
      </c>
      <c r="B3003" s="121" t="s">
        <v>122</v>
      </c>
      <c r="C3003" s="62">
        <f>VLOOKUP(B3003,合并仓明细!$D$2:$F$74,3,0)</f>
        <v>187</v>
      </c>
      <c r="D3003" s="122" t="s">
        <v>413</v>
      </c>
      <c r="E3003" s="123">
        <v>46000</v>
      </c>
      <c r="F3003" s="121" t="s">
        <v>67</v>
      </c>
      <c r="G3003" s="121">
        <v>3750.7725960000002</v>
      </c>
      <c r="H3003" s="124">
        <v>4.1782979281000001</v>
      </c>
      <c r="I3003" s="38">
        <f>IF(H3003&gt;30,QUOTIENT(H3003,30)*VLOOKUP(D3003,'报价表-配送'!$B$84:$I$88,8,0),0)+IF(AND(MOD(H3003,30)&gt;18,MOD(H3003,30)&lt;=30),1,0)*VLOOKUP(D3003,'报价表-配送'!$B$84:$I$88,8,0)</f>
        <v>0</v>
      </c>
      <c r="J3003" s="38">
        <f>IF(AND(MOD(H3003,30)&gt;8,MOD(H3003,30)&lt;=18),1*VLOOKUP(D3003,'报价表-配送'!$B$84:$I$88,7,0),0)</f>
        <v>0</v>
      </c>
      <c r="K3003" s="38">
        <f>IF(AND(MOD(H3003,30)&lt;=8,MOD(H3003,30)&gt;0),1,0)*VLOOKUP(D3003,'报价表-配送'!$B$84:$I$88,6,0)</f>
        <v>0</v>
      </c>
      <c r="L3003" s="121"/>
      <c r="M3003" s="126"/>
      <c r="N3003" s="127">
        <f t="shared" ref="N3003" si="99">SUM(I3003:L3003)</f>
        <v>0</v>
      </c>
    </row>
    <row r="3004" spans="1:14" x14ac:dyDescent="0.25">
      <c r="A3004" s="121" t="s">
        <v>111</v>
      </c>
      <c r="B3004" s="121" t="s">
        <v>122</v>
      </c>
      <c r="C3004" s="62">
        <f>VLOOKUP(B3004,合并仓明细!$D$2:$F$74,3,0)</f>
        <v>187</v>
      </c>
      <c r="D3004" s="122" t="s">
        <v>413</v>
      </c>
      <c r="E3004" s="123">
        <v>46000</v>
      </c>
      <c r="F3004" s="121" t="s">
        <v>66</v>
      </c>
      <c r="G3004" s="121">
        <v>427.52533209999996</v>
      </c>
      <c r="H3004" s="124"/>
      <c r="I3004" s="125"/>
      <c r="J3004" s="125"/>
      <c r="K3004" s="125"/>
      <c r="L3004" s="121"/>
      <c r="M3004" s="126"/>
      <c r="N3004" s="121"/>
    </row>
    <row r="3005" spans="1:14" x14ac:dyDescent="0.25">
      <c r="A3005" s="121" t="s">
        <v>111</v>
      </c>
      <c r="B3005" s="121" t="s">
        <v>122</v>
      </c>
      <c r="C3005" s="62">
        <f>VLOOKUP(B3005,合并仓明细!$D$2:$F$74,3,0)</f>
        <v>187</v>
      </c>
      <c r="D3005" s="122" t="s">
        <v>413</v>
      </c>
      <c r="E3005" s="123">
        <v>46002</v>
      </c>
      <c r="F3005" s="121" t="s">
        <v>66</v>
      </c>
      <c r="G3005" s="121">
        <v>137.19999999999999</v>
      </c>
      <c r="H3005" s="124">
        <v>0.13719999999999999</v>
      </c>
      <c r="I3005" s="125"/>
      <c r="J3005" s="125"/>
      <c r="K3005" s="125"/>
      <c r="L3005" s="37">
        <f>IF(H3005&gt;30,QUOTIENT(H3005,30)*VLOOKUP(D3005,'报价表-配送'!$B$84:$I$88,8,0),0)+IF(AND(MOD(H3005,30)&gt;18,MOD(H3005,30)&lt;=30),1,0)*VLOOKUP(D3005,'报价表-配送'!$B$84:$I$88,8,0)+IF(AND(MOD(H3005,30)&gt;8,MOD(H3005,30)&lt;=18),1*VLOOKUP(D3005,'报价表-配送'!$B$84:$I$88,7,0),0)+IF(AND(MOD(H3005,30)&lt;=8,MOD(H3005,30)&gt;2.5),1,0)*VLOOKUP(D3005,'报价表-配送'!$B$84:$I$88,6,0)+IF(AND(MOD(H3005,30)&lt;=2.5,MOD(H3005,30)&gt;=1.5),1,0)*VLOOKUP(D3005,'报价表-配送'!$B$84:$I$88,5,0)</f>
        <v>0</v>
      </c>
      <c r="M3005" s="39">
        <f>IF(AND(MOD(H3005,30)&lt;1.5,MOD(H3005,30)&gt;=0.5),H3005,0)*VLOOKUP(D3005,'报价表-配送'!$B$84:$I$88,4,0)*1000+IF(AND(MOD(H3005,30)&lt;0.5,MOD(H3005,30)&gt;=0.02),H3005,0)*VLOOKUP(D3005,'报价表-配送'!$B$84:$I$88,3,0)*1000+IF(AND(MOD(H3005,30)&lt;0.02),H3005,0)*VLOOKUP(D3005,'报价表-配送'!$B$84:$I$88,2,0)*1000</f>
        <v>0</v>
      </c>
      <c r="N3005" s="127">
        <f t="shared" ref="N3005:N3006" si="100">SUM(I3005:L3005)</f>
        <v>0</v>
      </c>
    </row>
    <row r="3006" spans="1:14" x14ac:dyDescent="0.25">
      <c r="A3006" s="121" t="s">
        <v>111</v>
      </c>
      <c r="B3006" s="121" t="s">
        <v>122</v>
      </c>
      <c r="C3006" s="62">
        <f>VLOOKUP(B3006,合并仓明细!$D$2:$F$74,3,0)</f>
        <v>187</v>
      </c>
      <c r="D3006" s="122" t="s">
        <v>413</v>
      </c>
      <c r="E3006" s="123">
        <v>46009</v>
      </c>
      <c r="F3006" s="121" t="s">
        <v>68</v>
      </c>
      <c r="G3006" s="121">
        <v>903.84</v>
      </c>
      <c r="H3006" s="124">
        <v>3.3234092786599998</v>
      </c>
      <c r="I3006" s="46">
        <f>ROUNDUP(H3006/30,0)*VLOOKUP(D3006,'报价表-配送'!$B$84:$I$88,8,0)</f>
        <v>0</v>
      </c>
      <c r="J3006" s="125"/>
      <c r="K3006" s="125"/>
      <c r="L3006" s="121"/>
      <c r="M3006" s="126"/>
      <c r="N3006" s="127">
        <f t="shared" si="100"/>
        <v>0</v>
      </c>
    </row>
    <row r="3007" spans="1:14" x14ac:dyDescent="0.25">
      <c r="A3007" s="121" t="s">
        <v>111</v>
      </c>
      <c r="B3007" s="121" t="s">
        <v>122</v>
      </c>
      <c r="C3007" s="62">
        <f>VLOOKUP(B3007,合并仓明细!$D$2:$F$74,3,0)</f>
        <v>187</v>
      </c>
      <c r="D3007" s="122" t="s">
        <v>413</v>
      </c>
      <c r="E3007" s="123">
        <v>46009</v>
      </c>
      <c r="F3007" s="121" t="s">
        <v>67</v>
      </c>
      <c r="G3007" s="121">
        <v>1604.6742120000001</v>
      </c>
      <c r="H3007" s="124"/>
      <c r="I3007" s="125"/>
      <c r="J3007" s="125"/>
      <c r="K3007" s="125"/>
      <c r="L3007" s="121"/>
      <c r="M3007" s="126"/>
      <c r="N3007" s="121"/>
    </row>
    <row r="3008" spans="1:14" x14ac:dyDescent="0.25">
      <c r="A3008" s="121" t="s">
        <v>111</v>
      </c>
      <c r="B3008" s="121" t="s">
        <v>122</v>
      </c>
      <c r="C3008" s="62">
        <f>VLOOKUP(B3008,合并仓明细!$D$2:$F$74,3,0)</f>
        <v>187</v>
      </c>
      <c r="D3008" s="122" t="s">
        <v>413</v>
      </c>
      <c r="E3008" s="123">
        <v>46009</v>
      </c>
      <c r="F3008" s="121" t="s">
        <v>66</v>
      </c>
      <c r="G3008" s="121">
        <v>814.89506666</v>
      </c>
      <c r="H3008" s="124"/>
      <c r="I3008" s="125"/>
      <c r="J3008" s="125"/>
      <c r="K3008" s="125"/>
      <c r="L3008" s="121"/>
      <c r="M3008" s="126"/>
      <c r="N3008" s="121"/>
    </row>
    <row r="3009" spans="1:14" x14ac:dyDescent="0.25">
      <c r="A3009" s="121" t="s">
        <v>111</v>
      </c>
      <c r="B3009" s="121" t="s">
        <v>122</v>
      </c>
      <c r="C3009" s="62">
        <f>VLOOKUP(B3009,合并仓明细!$D$2:$F$74,3,0)</f>
        <v>187</v>
      </c>
      <c r="D3009" s="122" t="s">
        <v>413</v>
      </c>
      <c r="E3009" s="123">
        <v>46029</v>
      </c>
      <c r="F3009" s="121" t="s">
        <v>68</v>
      </c>
      <c r="G3009" s="121">
        <v>723.40355999999997</v>
      </c>
      <c r="H3009" s="124">
        <v>6.57612845391</v>
      </c>
      <c r="I3009" s="46">
        <f>ROUNDUP(H3009/30,0)*VLOOKUP(D3009,'报价表-配送'!$B$84:$I$88,8,0)</f>
        <v>0</v>
      </c>
      <c r="J3009" s="125"/>
      <c r="K3009" s="125"/>
      <c r="L3009" s="121"/>
      <c r="M3009" s="126"/>
      <c r="N3009" s="127">
        <f t="shared" ref="N3009" si="101">SUM(I3009:L3009)</f>
        <v>0</v>
      </c>
    </row>
    <row r="3010" spans="1:14" x14ac:dyDescent="0.25">
      <c r="A3010" s="121" t="s">
        <v>111</v>
      </c>
      <c r="B3010" s="121" t="s">
        <v>122</v>
      </c>
      <c r="C3010" s="62">
        <f>VLOOKUP(B3010,合并仓明细!$D$2:$F$74,3,0)</f>
        <v>187</v>
      </c>
      <c r="D3010" s="122" t="s">
        <v>413</v>
      </c>
      <c r="E3010" s="123">
        <v>46029</v>
      </c>
      <c r="F3010" s="121" t="s">
        <v>67</v>
      </c>
      <c r="G3010" s="121">
        <v>5690.8161060000002</v>
      </c>
      <c r="H3010" s="124"/>
      <c r="I3010" s="125"/>
      <c r="J3010" s="125"/>
      <c r="K3010" s="125"/>
      <c r="L3010" s="121"/>
      <c r="M3010" s="126"/>
      <c r="N3010" s="121"/>
    </row>
    <row r="3011" spans="1:14" x14ac:dyDescent="0.25">
      <c r="A3011" s="121" t="s">
        <v>111</v>
      </c>
      <c r="B3011" s="121" t="s">
        <v>122</v>
      </c>
      <c r="C3011" s="62">
        <f>VLOOKUP(B3011,合并仓明细!$D$2:$F$74,3,0)</f>
        <v>187</v>
      </c>
      <c r="D3011" s="122" t="s">
        <v>413</v>
      </c>
      <c r="E3011" s="123">
        <v>46029</v>
      </c>
      <c r="F3011" s="121" t="s">
        <v>66</v>
      </c>
      <c r="G3011" s="121">
        <v>161.90878791000003</v>
      </c>
      <c r="H3011" s="124"/>
      <c r="I3011" s="125"/>
      <c r="J3011" s="125"/>
      <c r="K3011" s="125"/>
      <c r="L3011" s="121"/>
      <c r="M3011" s="126"/>
      <c r="N3011" s="121"/>
    </row>
    <row r="3012" spans="1:14" x14ac:dyDescent="0.25">
      <c r="A3012" s="121" t="s">
        <v>111</v>
      </c>
      <c r="B3012" s="121" t="s">
        <v>122</v>
      </c>
      <c r="C3012" s="62">
        <f>VLOOKUP(B3012,合并仓明细!$D$2:$F$74,3,0)</f>
        <v>187</v>
      </c>
      <c r="D3012" s="122" t="s">
        <v>413</v>
      </c>
      <c r="E3012" s="123">
        <v>46034</v>
      </c>
      <c r="F3012" s="121" t="s">
        <v>66</v>
      </c>
      <c r="G3012" s="121">
        <v>15.2575</v>
      </c>
      <c r="H3012" s="124">
        <v>1.52575E-2</v>
      </c>
      <c r="I3012" s="125"/>
      <c r="J3012" s="125"/>
      <c r="K3012" s="125"/>
      <c r="L3012" s="37">
        <f>IF(H3012&gt;30,QUOTIENT(H3012,30)*VLOOKUP(D3012,'报价表-配送'!$B$84:$I$88,8,0),0)+IF(AND(MOD(H3012,30)&gt;18,MOD(H3012,30)&lt;=30),1,0)*VLOOKUP(D3012,'报价表-配送'!$B$84:$I$88,8,0)+IF(AND(MOD(H3012,30)&gt;8,MOD(H3012,30)&lt;=18),1*VLOOKUP(D3012,'报价表-配送'!$B$84:$I$88,7,0),0)+IF(AND(MOD(H3012,30)&lt;=8,MOD(H3012,30)&gt;2.5),1,0)*VLOOKUP(D3012,'报价表-配送'!$B$84:$I$88,6,0)+IF(AND(MOD(H3012,30)&lt;=2.5,MOD(H3012,30)&gt;=1.5),1,0)*VLOOKUP(D3012,'报价表-配送'!$B$84:$I$88,5,0)</f>
        <v>0</v>
      </c>
      <c r="M3012" s="39">
        <f>IF(AND(MOD(H3012,30)&lt;1.5,MOD(H3012,30)&gt;=0.5),H3012,0)*VLOOKUP(D3012,'报价表-配送'!$B$84:$I$88,4,0)*1000+IF(AND(MOD(H3012,30)&lt;0.5,MOD(H3012,30)&gt;=0.02),H3012,0)*VLOOKUP(D3012,'报价表-配送'!$B$84:$I$88,3,0)*1000+IF(AND(MOD(H3012,30)&lt;0.02),H3012,0)*VLOOKUP(D3012,'报价表-配送'!$B$84:$I$88,2,0)*1000</f>
        <v>0</v>
      </c>
      <c r="N3012" s="127">
        <f t="shared" ref="N3012:N3015" si="102">SUM(I3012:L3012)</f>
        <v>0</v>
      </c>
    </row>
    <row r="3013" spans="1:14" x14ac:dyDescent="0.25">
      <c r="A3013" s="121" t="s">
        <v>111</v>
      </c>
      <c r="B3013" s="121" t="s">
        <v>122</v>
      </c>
      <c r="C3013" s="62">
        <f>VLOOKUP(B3013,合并仓明细!$D$2:$F$74,3,0)</f>
        <v>187</v>
      </c>
      <c r="D3013" s="122" t="s">
        <v>413</v>
      </c>
      <c r="E3013" s="123">
        <v>46043</v>
      </c>
      <c r="F3013" s="121" t="s">
        <v>66</v>
      </c>
      <c r="G3013" s="121">
        <v>38.92909092</v>
      </c>
      <c r="H3013" s="124">
        <v>3.8929090919999999E-2</v>
      </c>
      <c r="I3013" s="125"/>
      <c r="J3013" s="125"/>
      <c r="K3013" s="125"/>
      <c r="L3013" s="37">
        <f>IF(H3013&gt;30,QUOTIENT(H3013,30)*VLOOKUP(D3013,'报价表-配送'!$B$84:$I$88,8,0),0)+IF(AND(MOD(H3013,30)&gt;18,MOD(H3013,30)&lt;=30),1,0)*VLOOKUP(D3013,'报价表-配送'!$B$84:$I$88,8,0)+IF(AND(MOD(H3013,30)&gt;8,MOD(H3013,30)&lt;=18),1*VLOOKUP(D3013,'报价表-配送'!$B$84:$I$88,7,0),0)+IF(AND(MOD(H3013,30)&lt;=8,MOD(H3013,30)&gt;2.5),1,0)*VLOOKUP(D3013,'报价表-配送'!$B$84:$I$88,6,0)+IF(AND(MOD(H3013,30)&lt;=2.5,MOD(H3013,30)&gt;=1.5),1,0)*VLOOKUP(D3013,'报价表-配送'!$B$84:$I$88,5,0)</f>
        <v>0</v>
      </c>
      <c r="M3013" s="39">
        <f>IF(AND(MOD(H3013,30)&lt;1.5,MOD(H3013,30)&gt;=0.5),H3013,0)*VLOOKUP(D3013,'报价表-配送'!$B$84:$I$88,4,0)*1000+IF(AND(MOD(H3013,30)&lt;0.5,MOD(H3013,30)&gt;=0.02),H3013,0)*VLOOKUP(D3013,'报价表-配送'!$B$84:$I$88,3,0)*1000+IF(AND(MOD(H3013,30)&lt;0.02),H3013,0)*VLOOKUP(D3013,'报价表-配送'!$B$84:$I$88,2,0)*1000</f>
        <v>0</v>
      </c>
      <c r="N3013" s="127">
        <f t="shared" si="102"/>
        <v>0</v>
      </c>
    </row>
    <row r="3014" spans="1:14" x14ac:dyDescent="0.25">
      <c r="A3014" s="121" t="s">
        <v>111</v>
      </c>
      <c r="B3014" s="121" t="s">
        <v>122</v>
      </c>
      <c r="C3014" s="62">
        <f>VLOOKUP(B3014,合并仓明细!$D$2:$F$74,3,0)</f>
        <v>187</v>
      </c>
      <c r="D3014" s="122" t="s">
        <v>413</v>
      </c>
      <c r="E3014" s="123">
        <v>46049</v>
      </c>
      <c r="F3014" s="121" t="s">
        <v>66</v>
      </c>
      <c r="G3014" s="121">
        <v>137.60083330000001</v>
      </c>
      <c r="H3014" s="124">
        <v>0.1376008333</v>
      </c>
      <c r="I3014" s="125"/>
      <c r="J3014" s="125"/>
      <c r="K3014" s="125"/>
      <c r="L3014" s="37">
        <f>IF(H3014&gt;30,QUOTIENT(H3014,30)*VLOOKUP(D3014,'报价表-配送'!$B$84:$I$88,8,0),0)+IF(AND(MOD(H3014,30)&gt;18,MOD(H3014,30)&lt;=30),1,0)*VLOOKUP(D3014,'报价表-配送'!$B$84:$I$88,8,0)+IF(AND(MOD(H3014,30)&gt;8,MOD(H3014,30)&lt;=18),1*VLOOKUP(D3014,'报价表-配送'!$B$84:$I$88,7,0),0)+IF(AND(MOD(H3014,30)&lt;=8,MOD(H3014,30)&gt;2.5),1,0)*VLOOKUP(D3014,'报价表-配送'!$B$84:$I$88,6,0)+IF(AND(MOD(H3014,30)&lt;=2.5,MOD(H3014,30)&gt;=1.5),1,0)*VLOOKUP(D3014,'报价表-配送'!$B$84:$I$88,5,0)</f>
        <v>0</v>
      </c>
      <c r="M3014" s="39">
        <f>IF(AND(MOD(H3014,30)&lt;1.5,MOD(H3014,30)&gt;=0.5),H3014,0)*VLOOKUP(D3014,'报价表-配送'!$B$84:$I$88,4,0)*1000+IF(AND(MOD(H3014,30)&lt;0.5,MOD(H3014,30)&gt;=0.02),H3014,0)*VLOOKUP(D3014,'报价表-配送'!$B$84:$I$88,3,0)*1000+IF(AND(MOD(H3014,30)&lt;0.02),H3014,0)*VLOOKUP(D3014,'报价表-配送'!$B$84:$I$88,2,0)*1000</f>
        <v>0</v>
      </c>
      <c r="N3014" s="127">
        <f t="shared" si="102"/>
        <v>0</v>
      </c>
    </row>
    <row r="3015" spans="1:14" x14ac:dyDescent="0.25">
      <c r="A3015" s="121" t="s">
        <v>111</v>
      </c>
      <c r="B3015" s="121" t="s">
        <v>122</v>
      </c>
      <c r="C3015" s="62">
        <f>VLOOKUP(B3015,合并仓明细!$D$2:$F$74,3,0)</f>
        <v>187</v>
      </c>
      <c r="D3015" s="122" t="s">
        <v>413</v>
      </c>
      <c r="E3015" s="123">
        <v>46097</v>
      </c>
      <c r="F3015" s="121" t="s">
        <v>67</v>
      </c>
      <c r="G3015" s="121">
        <v>13708.283881999998</v>
      </c>
      <c r="H3015" s="124">
        <v>14.278185697199998</v>
      </c>
      <c r="I3015" s="38">
        <f>IF(H3015&gt;30,QUOTIENT(H3015,30)*VLOOKUP(D3015,'报价表-配送'!$B$84:$I$88,8,0),0)+IF(AND(MOD(H3015,30)&gt;18,MOD(H3015,30)&lt;=30),1,0)*VLOOKUP(D3015,'报价表-配送'!$B$84:$I$88,8,0)</f>
        <v>0</v>
      </c>
      <c r="J3015" s="38">
        <f>IF(AND(MOD(H3015,30)&gt;8,MOD(H3015,30)&lt;=18),1*VLOOKUP(D3015,'报价表-配送'!$B$84:$I$88,7,0),0)</f>
        <v>0</v>
      </c>
      <c r="K3015" s="38">
        <f>IF(AND(MOD(H3015,30)&lt;=8,MOD(H3015,30)&gt;0),1,0)*VLOOKUP(D3015,'报价表-配送'!$B$84:$I$88,6,0)</f>
        <v>0</v>
      </c>
      <c r="L3015" s="121"/>
      <c r="M3015" s="126"/>
      <c r="N3015" s="127">
        <f t="shared" si="102"/>
        <v>0</v>
      </c>
    </row>
    <row r="3016" spans="1:14" x14ac:dyDescent="0.25">
      <c r="A3016" s="121" t="s">
        <v>111</v>
      </c>
      <c r="B3016" s="121" t="s">
        <v>122</v>
      </c>
      <c r="C3016" s="62">
        <f>VLOOKUP(B3016,合并仓明细!$D$2:$F$74,3,0)</f>
        <v>187</v>
      </c>
      <c r="D3016" s="122" t="s">
        <v>413</v>
      </c>
      <c r="E3016" s="123">
        <v>46097</v>
      </c>
      <c r="F3016" s="121" t="s">
        <v>66</v>
      </c>
      <c r="G3016" s="121">
        <v>569.90181519999999</v>
      </c>
      <c r="H3016" s="124"/>
      <c r="I3016" s="125"/>
      <c r="J3016" s="125"/>
      <c r="K3016" s="125"/>
      <c r="L3016" s="121"/>
      <c r="M3016" s="126"/>
      <c r="N3016" s="121"/>
    </row>
    <row r="3017" spans="1:14" x14ac:dyDescent="0.25">
      <c r="A3017" s="121" t="s">
        <v>111</v>
      </c>
      <c r="B3017" s="121" t="s">
        <v>123</v>
      </c>
      <c r="C3017" s="62">
        <f>VLOOKUP(B3017,合并仓明细!$D$2:$F$74,3,0)</f>
        <v>222</v>
      </c>
      <c r="D3017" s="122" t="s">
        <v>414</v>
      </c>
      <c r="E3017" s="123">
        <v>45939</v>
      </c>
      <c r="F3017" s="121" t="s">
        <v>66</v>
      </c>
      <c r="G3017" s="121">
        <v>83.58</v>
      </c>
      <c r="H3017" s="124">
        <v>8.3580000000000002E-2</v>
      </c>
      <c r="I3017" s="125"/>
      <c r="J3017" s="125"/>
      <c r="K3017" s="125"/>
      <c r="L3017" s="37">
        <f>IF(H3017&gt;30,QUOTIENT(H3017,30)*VLOOKUP(D3017,'报价表-配送'!$B$84:$I$88,8,0),0)+IF(AND(MOD(H3017,30)&gt;18,MOD(H3017,30)&lt;=30),1,0)*VLOOKUP(D3017,'报价表-配送'!$B$84:$I$88,8,0)+IF(AND(MOD(H3017,30)&gt;8,MOD(H3017,30)&lt;=18),1*VLOOKUP(D3017,'报价表-配送'!$B$84:$I$88,7,0),0)+IF(AND(MOD(H3017,30)&lt;=8,MOD(H3017,30)&gt;2.5),1,0)*VLOOKUP(D3017,'报价表-配送'!$B$84:$I$88,6,0)+IF(AND(MOD(H3017,30)&lt;=2.5,MOD(H3017,30)&gt;=1.5),1,0)*VLOOKUP(D3017,'报价表-配送'!$B$84:$I$88,5,0)</f>
        <v>0</v>
      </c>
      <c r="M3017" s="39">
        <f>IF(AND(MOD(H3017,30)&lt;1.5,MOD(H3017,30)&gt;=0.5),H3017,0)*VLOOKUP(D3017,'报价表-配送'!$B$84:$I$88,4,0)*1000+IF(AND(MOD(H3017,30)&lt;0.5,MOD(H3017,30)&gt;=0.02),H3017,0)*VLOOKUP(D3017,'报价表-配送'!$B$84:$I$88,3,0)*1000+IF(AND(MOD(H3017,30)&lt;0.02),H3017,0)*VLOOKUP(D3017,'报价表-配送'!$B$84:$I$88,2,0)*1000</f>
        <v>0</v>
      </c>
      <c r="N3017" s="127">
        <f t="shared" ref="N3017:N3019" si="103">SUM(I3017:L3017)</f>
        <v>0</v>
      </c>
    </row>
    <row r="3018" spans="1:14" x14ac:dyDescent="0.25">
      <c r="A3018" s="121" t="s">
        <v>111</v>
      </c>
      <c r="B3018" s="121" t="s">
        <v>123</v>
      </c>
      <c r="C3018" s="62">
        <f>VLOOKUP(B3018,合并仓明细!$D$2:$F$74,3,0)</f>
        <v>222</v>
      </c>
      <c r="D3018" s="122" t="s">
        <v>414</v>
      </c>
      <c r="E3018" s="123">
        <v>45951</v>
      </c>
      <c r="F3018" s="121" t="s">
        <v>66</v>
      </c>
      <c r="G3018" s="121">
        <v>249.04999999999998</v>
      </c>
      <c r="H3018" s="124">
        <v>0.24904999999999999</v>
      </c>
      <c r="I3018" s="125"/>
      <c r="J3018" s="125"/>
      <c r="K3018" s="125"/>
      <c r="L3018" s="37">
        <f>IF(H3018&gt;30,QUOTIENT(H3018,30)*VLOOKUP(D3018,'报价表-配送'!$B$84:$I$88,8,0),0)+IF(AND(MOD(H3018,30)&gt;18,MOD(H3018,30)&lt;=30),1,0)*VLOOKUP(D3018,'报价表-配送'!$B$84:$I$88,8,0)+IF(AND(MOD(H3018,30)&gt;8,MOD(H3018,30)&lt;=18),1*VLOOKUP(D3018,'报价表-配送'!$B$84:$I$88,7,0),0)+IF(AND(MOD(H3018,30)&lt;=8,MOD(H3018,30)&gt;2.5),1,0)*VLOOKUP(D3018,'报价表-配送'!$B$84:$I$88,6,0)+IF(AND(MOD(H3018,30)&lt;=2.5,MOD(H3018,30)&gt;=1.5),1,0)*VLOOKUP(D3018,'报价表-配送'!$B$84:$I$88,5,0)</f>
        <v>0</v>
      </c>
      <c r="M3018" s="39">
        <f>IF(AND(MOD(H3018,30)&lt;1.5,MOD(H3018,30)&gt;=0.5),H3018,0)*VLOOKUP(D3018,'报价表-配送'!$B$84:$I$88,4,0)*1000+IF(AND(MOD(H3018,30)&lt;0.5,MOD(H3018,30)&gt;=0.02),H3018,0)*VLOOKUP(D3018,'报价表-配送'!$B$84:$I$88,3,0)*1000+IF(AND(MOD(H3018,30)&lt;0.02),H3018,0)*VLOOKUP(D3018,'报价表-配送'!$B$84:$I$88,2,0)*1000</f>
        <v>0</v>
      </c>
      <c r="N3018" s="127">
        <f t="shared" si="103"/>
        <v>0</v>
      </c>
    </row>
    <row r="3019" spans="1:14" x14ac:dyDescent="0.25">
      <c r="A3019" s="121" t="s">
        <v>111</v>
      </c>
      <c r="B3019" s="121" t="s">
        <v>123</v>
      </c>
      <c r="C3019" s="62">
        <f>VLOOKUP(B3019,合并仓明细!$D$2:$F$74,3,0)</f>
        <v>222</v>
      </c>
      <c r="D3019" s="122" t="s">
        <v>414</v>
      </c>
      <c r="E3019" s="123">
        <v>45967</v>
      </c>
      <c r="F3019" s="121" t="s">
        <v>68</v>
      </c>
      <c r="G3019" s="121">
        <v>2957.8995599999998</v>
      </c>
      <c r="H3019" s="124">
        <v>3.0610162265999996</v>
      </c>
      <c r="I3019" s="46">
        <f>ROUNDUP(H3019/30,0)*VLOOKUP(D3019,'报价表-配送'!$B$84:$I$88,8,0)</f>
        <v>0</v>
      </c>
      <c r="J3019" s="125"/>
      <c r="K3019" s="125"/>
      <c r="L3019" s="121"/>
      <c r="M3019" s="126"/>
      <c r="N3019" s="127">
        <f t="shared" si="103"/>
        <v>0</v>
      </c>
    </row>
    <row r="3020" spans="1:14" x14ac:dyDescent="0.25">
      <c r="A3020" s="121" t="s">
        <v>111</v>
      </c>
      <c r="B3020" s="121" t="s">
        <v>123</v>
      </c>
      <c r="C3020" s="62">
        <f>VLOOKUP(B3020,合并仓明细!$D$2:$F$74,3,0)</f>
        <v>222</v>
      </c>
      <c r="D3020" s="122" t="s">
        <v>414</v>
      </c>
      <c r="E3020" s="123">
        <v>45967</v>
      </c>
      <c r="F3020" s="121" t="s">
        <v>66</v>
      </c>
      <c r="G3020" s="121">
        <v>103.1166666</v>
      </c>
      <c r="H3020" s="124"/>
      <c r="I3020" s="125"/>
      <c r="J3020" s="125"/>
      <c r="K3020" s="125"/>
      <c r="L3020" s="121"/>
      <c r="M3020" s="126"/>
      <c r="N3020" s="121"/>
    </row>
    <row r="3021" spans="1:14" x14ac:dyDescent="0.25">
      <c r="A3021" s="121" t="s">
        <v>111</v>
      </c>
      <c r="B3021" s="121" t="s">
        <v>123</v>
      </c>
      <c r="C3021" s="62">
        <f>VLOOKUP(B3021,合并仓明细!$D$2:$F$74,3,0)</f>
        <v>222</v>
      </c>
      <c r="D3021" s="122" t="s">
        <v>414</v>
      </c>
      <c r="E3021" s="123">
        <v>45979</v>
      </c>
      <c r="F3021" s="121" t="s">
        <v>66</v>
      </c>
      <c r="G3021" s="121">
        <v>263.52999999999997</v>
      </c>
      <c r="H3021" s="124">
        <v>0.26352999999999999</v>
      </c>
      <c r="I3021" s="125"/>
      <c r="J3021" s="125"/>
      <c r="K3021" s="125"/>
      <c r="L3021" s="37">
        <f>IF(H3021&gt;30,QUOTIENT(H3021,30)*VLOOKUP(D3021,'报价表-配送'!$B$84:$I$88,8,0),0)+IF(AND(MOD(H3021,30)&gt;18,MOD(H3021,30)&lt;=30),1,0)*VLOOKUP(D3021,'报价表-配送'!$B$84:$I$88,8,0)+IF(AND(MOD(H3021,30)&gt;8,MOD(H3021,30)&lt;=18),1*VLOOKUP(D3021,'报价表-配送'!$B$84:$I$88,7,0),0)+IF(AND(MOD(H3021,30)&lt;=8,MOD(H3021,30)&gt;2.5),1,0)*VLOOKUP(D3021,'报价表-配送'!$B$84:$I$88,6,0)+IF(AND(MOD(H3021,30)&lt;=2.5,MOD(H3021,30)&gt;=1.5),1,0)*VLOOKUP(D3021,'报价表-配送'!$B$84:$I$88,5,0)</f>
        <v>0</v>
      </c>
      <c r="M3021" s="39">
        <f>IF(AND(MOD(H3021,30)&lt;1.5,MOD(H3021,30)&gt;=0.5),H3021,0)*VLOOKUP(D3021,'报价表-配送'!$B$84:$I$88,4,0)*1000+IF(AND(MOD(H3021,30)&lt;0.5,MOD(H3021,30)&gt;=0.02),H3021,0)*VLOOKUP(D3021,'报价表-配送'!$B$84:$I$88,3,0)*1000+IF(AND(MOD(H3021,30)&lt;0.02),H3021,0)*VLOOKUP(D3021,'报价表-配送'!$B$84:$I$88,2,0)*1000</f>
        <v>0</v>
      </c>
      <c r="N3021" s="127">
        <f t="shared" ref="N3021:N3025" si="104">SUM(I3021:L3021)</f>
        <v>0</v>
      </c>
    </row>
    <row r="3022" spans="1:14" x14ac:dyDescent="0.25">
      <c r="A3022" s="121" t="s">
        <v>111</v>
      </c>
      <c r="B3022" s="121" t="s">
        <v>123</v>
      </c>
      <c r="C3022" s="62">
        <f>VLOOKUP(B3022,合并仓明细!$D$2:$F$74,3,0)</f>
        <v>222</v>
      </c>
      <c r="D3022" s="122" t="s">
        <v>414</v>
      </c>
      <c r="E3022" s="123">
        <v>45995</v>
      </c>
      <c r="F3022" s="121" t="s">
        <v>66</v>
      </c>
      <c r="G3022" s="121">
        <v>162.32000001999998</v>
      </c>
      <c r="H3022" s="124">
        <v>0.16232000001999999</v>
      </c>
      <c r="I3022" s="125"/>
      <c r="J3022" s="125"/>
      <c r="K3022" s="125"/>
      <c r="L3022" s="37">
        <f>IF(H3022&gt;30,QUOTIENT(H3022,30)*VLOOKUP(D3022,'报价表-配送'!$B$84:$I$88,8,0),0)+IF(AND(MOD(H3022,30)&gt;18,MOD(H3022,30)&lt;=30),1,0)*VLOOKUP(D3022,'报价表-配送'!$B$84:$I$88,8,0)+IF(AND(MOD(H3022,30)&gt;8,MOD(H3022,30)&lt;=18),1*VLOOKUP(D3022,'报价表-配送'!$B$84:$I$88,7,0),0)+IF(AND(MOD(H3022,30)&lt;=8,MOD(H3022,30)&gt;2.5),1,0)*VLOOKUP(D3022,'报价表-配送'!$B$84:$I$88,6,0)+IF(AND(MOD(H3022,30)&lt;=2.5,MOD(H3022,30)&gt;=1.5),1,0)*VLOOKUP(D3022,'报价表-配送'!$B$84:$I$88,5,0)</f>
        <v>0</v>
      </c>
      <c r="M3022" s="39">
        <f>IF(AND(MOD(H3022,30)&lt;1.5,MOD(H3022,30)&gt;=0.5),H3022,0)*VLOOKUP(D3022,'报价表-配送'!$B$84:$I$88,4,0)*1000+IF(AND(MOD(H3022,30)&lt;0.5,MOD(H3022,30)&gt;=0.02),H3022,0)*VLOOKUP(D3022,'报价表-配送'!$B$84:$I$88,3,0)*1000+IF(AND(MOD(H3022,30)&lt;0.02),H3022,0)*VLOOKUP(D3022,'报价表-配送'!$B$84:$I$88,2,0)*1000</f>
        <v>0</v>
      </c>
      <c r="N3022" s="127">
        <f t="shared" si="104"/>
        <v>0</v>
      </c>
    </row>
    <row r="3023" spans="1:14" x14ac:dyDescent="0.25">
      <c r="A3023" s="121" t="s">
        <v>111</v>
      </c>
      <c r="B3023" s="121" t="s">
        <v>123</v>
      </c>
      <c r="C3023" s="62">
        <f>VLOOKUP(B3023,合并仓明细!$D$2:$F$74,3,0)</f>
        <v>222</v>
      </c>
      <c r="D3023" s="122" t="s">
        <v>414</v>
      </c>
      <c r="E3023" s="123">
        <v>46010</v>
      </c>
      <c r="F3023" s="121" t="s">
        <v>66</v>
      </c>
      <c r="G3023" s="121">
        <v>60.415833249999999</v>
      </c>
      <c r="H3023" s="124">
        <v>6.0415833250000002E-2</v>
      </c>
      <c r="I3023" s="125"/>
      <c r="J3023" s="125"/>
      <c r="K3023" s="125"/>
      <c r="L3023" s="37">
        <f>IF(H3023&gt;30,QUOTIENT(H3023,30)*VLOOKUP(D3023,'报价表-配送'!$B$84:$I$88,8,0),0)+IF(AND(MOD(H3023,30)&gt;18,MOD(H3023,30)&lt;=30),1,0)*VLOOKUP(D3023,'报价表-配送'!$B$84:$I$88,8,0)+IF(AND(MOD(H3023,30)&gt;8,MOD(H3023,30)&lt;=18),1*VLOOKUP(D3023,'报价表-配送'!$B$84:$I$88,7,0),0)+IF(AND(MOD(H3023,30)&lt;=8,MOD(H3023,30)&gt;2.5),1,0)*VLOOKUP(D3023,'报价表-配送'!$B$84:$I$88,6,0)+IF(AND(MOD(H3023,30)&lt;=2.5,MOD(H3023,30)&gt;=1.5),1,0)*VLOOKUP(D3023,'报价表-配送'!$B$84:$I$88,5,0)</f>
        <v>0</v>
      </c>
      <c r="M3023" s="39">
        <f>IF(AND(MOD(H3023,30)&lt;1.5,MOD(H3023,30)&gt;=0.5),H3023,0)*VLOOKUP(D3023,'报价表-配送'!$B$84:$I$88,4,0)*1000+IF(AND(MOD(H3023,30)&lt;0.5,MOD(H3023,30)&gt;=0.02),H3023,0)*VLOOKUP(D3023,'报价表-配送'!$B$84:$I$88,3,0)*1000+IF(AND(MOD(H3023,30)&lt;0.02),H3023,0)*VLOOKUP(D3023,'报价表-配送'!$B$84:$I$88,2,0)*1000</f>
        <v>0</v>
      </c>
      <c r="N3023" s="127">
        <f t="shared" si="104"/>
        <v>0</v>
      </c>
    </row>
    <row r="3024" spans="1:14" x14ac:dyDescent="0.25">
      <c r="A3024" s="121" t="s">
        <v>111</v>
      </c>
      <c r="B3024" s="121" t="s">
        <v>123</v>
      </c>
      <c r="C3024" s="62">
        <f>VLOOKUP(B3024,合并仓明细!$D$2:$F$74,3,0)</f>
        <v>222</v>
      </c>
      <c r="D3024" s="122" t="s">
        <v>414</v>
      </c>
      <c r="E3024" s="123">
        <v>46016</v>
      </c>
      <c r="F3024" s="121" t="s">
        <v>66</v>
      </c>
      <c r="G3024" s="121">
        <v>749.66999985999996</v>
      </c>
      <c r="H3024" s="124">
        <v>0.74966999985999994</v>
      </c>
      <c r="I3024" s="125"/>
      <c r="J3024" s="125"/>
      <c r="K3024" s="125"/>
      <c r="L3024" s="37">
        <f>IF(H3024&gt;30,QUOTIENT(H3024,30)*VLOOKUP(D3024,'报价表-配送'!$B$84:$I$88,8,0),0)+IF(AND(MOD(H3024,30)&gt;18,MOD(H3024,30)&lt;=30),1,0)*VLOOKUP(D3024,'报价表-配送'!$B$84:$I$88,8,0)+IF(AND(MOD(H3024,30)&gt;8,MOD(H3024,30)&lt;=18),1*VLOOKUP(D3024,'报价表-配送'!$B$84:$I$88,7,0),0)+IF(AND(MOD(H3024,30)&lt;=8,MOD(H3024,30)&gt;2.5),1,0)*VLOOKUP(D3024,'报价表-配送'!$B$84:$I$88,6,0)+IF(AND(MOD(H3024,30)&lt;=2.5,MOD(H3024,30)&gt;=1.5),1,0)*VLOOKUP(D3024,'报价表-配送'!$B$84:$I$88,5,0)</f>
        <v>0</v>
      </c>
      <c r="M3024" s="39">
        <f>IF(AND(MOD(H3024,30)&lt;1.5,MOD(H3024,30)&gt;=0.5),H3024,0)*VLOOKUP(D3024,'报价表-配送'!$B$84:$I$88,4,0)*1000+IF(AND(MOD(H3024,30)&lt;0.5,MOD(H3024,30)&gt;=0.02),H3024,0)*VLOOKUP(D3024,'报价表-配送'!$B$84:$I$88,3,0)*1000+IF(AND(MOD(H3024,30)&lt;0.02),H3024,0)*VLOOKUP(D3024,'报价表-配送'!$B$84:$I$88,2,0)*1000</f>
        <v>0</v>
      </c>
      <c r="N3024" s="127">
        <f t="shared" si="104"/>
        <v>0</v>
      </c>
    </row>
    <row r="3025" spans="1:14" x14ac:dyDescent="0.25">
      <c r="A3025" s="121" t="s">
        <v>111</v>
      </c>
      <c r="B3025" s="121" t="s">
        <v>123</v>
      </c>
      <c r="C3025" s="62">
        <f>VLOOKUP(B3025,合并仓明细!$D$2:$F$74,3,0)</f>
        <v>222</v>
      </c>
      <c r="D3025" s="122" t="s">
        <v>414</v>
      </c>
      <c r="E3025" s="123">
        <v>46028</v>
      </c>
      <c r="F3025" s="121" t="s">
        <v>68</v>
      </c>
      <c r="G3025" s="121">
        <v>2534.9364</v>
      </c>
      <c r="H3025" s="124">
        <v>3.1013463999999997</v>
      </c>
      <c r="I3025" s="46">
        <f>ROUNDUP(H3025/30,0)*VLOOKUP(D3025,'报价表-配送'!$B$84:$I$88,8,0)</f>
        <v>0</v>
      </c>
      <c r="J3025" s="125"/>
      <c r="K3025" s="125"/>
      <c r="L3025" s="121"/>
      <c r="M3025" s="126"/>
      <c r="N3025" s="127">
        <f t="shared" si="104"/>
        <v>0</v>
      </c>
    </row>
    <row r="3026" spans="1:14" x14ac:dyDescent="0.25">
      <c r="A3026" s="121" t="s">
        <v>111</v>
      </c>
      <c r="B3026" s="121" t="s">
        <v>123</v>
      </c>
      <c r="C3026" s="62">
        <f>VLOOKUP(B3026,合并仓明细!$D$2:$F$74,3,0)</f>
        <v>222</v>
      </c>
      <c r="D3026" s="122" t="s">
        <v>414</v>
      </c>
      <c r="E3026" s="123">
        <v>46028</v>
      </c>
      <c r="F3026" s="121" t="s">
        <v>67</v>
      </c>
      <c r="G3026" s="121">
        <v>534.6</v>
      </c>
      <c r="H3026" s="124"/>
      <c r="I3026" s="125"/>
      <c r="J3026" s="125"/>
      <c r="K3026" s="125"/>
      <c r="L3026" s="121"/>
      <c r="M3026" s="126"/>
      <c r="N3026" s="121"/>
    </row>
    <row r="3027" spans="1:14" x14ac:dyDescent="0.25">
      <c r="A3027" s="121" t="s">
        <v>111</v>
      </c>
      <c r="B3027" s="121" t="s">
        <v>123</v>
      </c>
      <c r="C3027" s="62">
        <f>VLOOKUP(B3027,合并仓明细!$D$2:$F$74,3,0)</f>
        <v>222</v>
      </c>
      <c r="D3027" s="122" t="s">
        <v>414</v>
      </c>
      <c r="E3027" s="123">
        <v>46028</v>
      </c>
      <c r="F3027" s="121" t="s">
        <v>66</v>
      </c>
      <c r="G3027" s="121">
        <v>31.81</v>
      </c>
      <c r="H3027" s="124"/>
      <c r="I3027" s="125"/>
      <c r="J3027" s="125"/>
      <c r="K3027" s="125"/>
      <c r="L3027" s="121"/>
      <c r="M3027" s="126"/>
      <c r="N3027" s="121"/>
    </row>
    <row r="3028" spans="1:14" x14ac:dyDescent="0.25">
      <c r="A3028" s="121" t="s">
        <v>111</v>
      </c>
      <c r="B3028" s="121" t="s">
        <v>123</v>
      </c>
      <c r="C3028" s="62">
        <f>VLOOKUP(B3028,合并仓明细!$D$2:$F$74,3,0)</f>
        <v>222</v>
      </c>
      <c r="D3028" s="122" t="s">
        <v>414</v>
      </c>
      <c r="E3028" s="123">
        <v>46048</v>
      </c>
      <c r="F3028" s="121" t="s">
        <v>66</v>
      </c>
      <c r="G3028" s="121">
        <v>59.22</v>
      </c>
      <c r="H3028" s="124">
        <v>5.9220000000000002E-2</v>
      </c>
      <c r="I3028" s="125"/>
      <c r="J3028" s="125"/>
      <c r="K3028" s="125"/>
      <c r="L3028" s="37">
        <f>IF(H3028&gt;30,QUOTIENT(H3028,30)*VLOOKUP(D3028,'报价表-配送'!$B$84:$I$88,8,0),0)+IF(AND(MOD(H3028,30)&gt;18,MOD(H3028,30)&lt;=30),1,0)*VLOOKUP(D3028,'报价表-配送'!$B$84:$I$88,8,0)+IF(AND(MOD(H3028,30)&gt;8,MOD(H3028,30)&lt;=18),1*VLOOKUP(D3028,'报价表-配送'!$B$84:$I$88,7,0),0)+IF(AND(MOD(H3028,30)&lt;=8,MOD(H3028,30)&gt;2.5),1,0)*VLOOKUP(D3028,'报价表-配送'!$B$84:$I$88,6,0)+IF(AND(MOD(H3028,30)&lt;=2.5,MOD(H3028,30)&gt;=1.5),1,0)*VLOOKUP(D3028,'报价表-配送'!$B$84:$I$88,5,0)</f>
        <v>0</v>
      </c>
      <c r="M3028" s="39">
        <f>IF(AND(MOD(H3028,30)&lt;1.5,MOD(H3028,30)&gt;=0.5),H3028,0)*VLOOKUP(D3028,'报价表-配送'!$B$84:$I$88,4,0)*1000+IF(AND(MOD(H3028,30)&lt;0.5,MOD(H3028,30)&gt;=0.02),H3028,0)*VLOOKUP(D3028,'报价表-配送'!$B$84:$I$88,3,0)*1000+IF(AND(MOD(H3028,30)&lt;0.02),H3028,0)*VLOOKUP(D3028,'报价表-配送'!$B$84:$I$88,2,0)*1000</f>
        <v>0</v>
      </c>
      <c r="N3028" s="127">
        <f t="shared" ref="N3028:N3029" si="105">SUM(I3028:L3028)</f>
        <v>0</v>
      </c>
    </row>
    <row r="3029" spans="1:14" x14ac:dyDescent="0.25">
      <c r="A3029" s="121" t="s">
        <v>111</v>
      </c>
      <c r="B3029" s="121" t="s">
        <v>123</v>
      </c>
      <c r="C3029" s="62">
        <f>VLOOKUP(B3029,合并仓明细!$D$2:$F$74,3,0)</f>
        <v>222</v>
      </c>
      <c r="D3029" s="122" t="s">
        <v>414</v>
      </c>
      <c r="E3029" s="123">
        <v>46084</v>
      </c>
      <c r="F3029" s="121" t="s">
        <v>68</v>
      </c>
      <c r="G3029" s="121">
        <v>2185.3883999999998</v>
      </c>
      <c r="H3029" s="124">
        <v>3.3556303999999995</v>
      </c>
      <c r="I3029" s="46">
        <f>ROUNDUP(H3029/30,0)*VLOOKUP(D3029,'报价表-配送'!$B$84:$I$88,8,0)</f>
        <v>0</v>
      </c>
      <c r="J3029" s="125"/>
      <c r="K3029" s="125"/>
      <c r="L3029" s="121"/>
      <c r="M3029" s="126"/>
      <c r="N3029" s="127">
        <f t="shared" si="105"/>
        <v>0</v>
      </c>
    </row>
    <row r="3030" spans="1:14" x14ac:dyDescent="0.25">
      <c r="A3030" s="121" t="s">
        <v>111</v>
      </c>
      <c r="B3030" s="121" t="s">
        <v>123</v>
      </c>
      <c r="C3030" s="62">
        <f>VLOOKUP(B3030,合并仓明细!$D$2:$F$74,3,0)</f>
        <v>222</v>
      </c>
      <c r="D3030" s="122" t="s">
        <v>414</v>
      </c>
      <c r="E3030" s="123">
        <v>46084</v>
      </c>
      <c r="F3030" s="121" t="s">
        <v>67</v>
      </c>
      <c r="G3030" s="121">
        <v>437.09699999999998</v>
      </c>
      <c r="H3030" s="124"/>
      <c r="I3030" s="125"/>
      <c r="J3030" s="125"/>
      <c r="K3030" s="125"/>
      <c r="L3030" s="121"/>
      <c r="M3030" s="126"/>
      <c r="N3030" s="121"/>
    </row>
    <row r="3031" spans="1:14" x14ac:dyDescent="0.25">
      <c r="A3031" s="121" t="s">
        <v>111</v>
      </c>
      <c r="B3031" s="121" t="s">
        <v>123</v>
      </c>
      <c r="C3031" s="62">
        <f>VLOOKUP(B3031,合并仓明细!$D$2:$F$74,3,0)</f>
        <v>222</v>
      </c>
      <c r="D3031" s="122" t="s">
        <v>414</v>
      </c>
      <c r="E3031" s="123">
        <v>46084</v>
      </c>
      <c r="F3031" s="121" t="s">
        <v>66</v>
      </c>
      <c r="G3031" s="121">
        <v>733.1450000000001</v>
      </c>
      <c r="H3031" s="124"/>
      <c r="I3031" s="125"/>
      <c r="J3031" s="125"/>
      <c r="K3031" s="125"/>
      <c r="L3031" s="121"/>
      <c r="M3031" s="126"/>
      <c r="N3031" s="121"/>
    </row>
    <row r="3032" spans="1:14" x14ac:dyDescent="0.25">
      <c r="A3032" s="121" t="s">
        <v>111</v>
      </c>
      <c r="B3032" s="121" t="s">
        <v>124</v>
      </c>
      <c r="C3032" s="62">
        <f>VLOOKUP(B3032,合并仓明细!$D$2:$F$74,3,0)</f>
        <v>229</v>
      </c>
      <c r="D3032" s="122" t="s">
        <v>414</v>
      </c>
      <c r="E3032" s="123">
        <v>45946</v>
      </c>
      <c r="F3032" s="121" t="s">
        <v>67</v>
      </c>
      <c r="G3032" s="121">
        <v>9110.7767999999996</v>
      </c>
      <c r="H3032" s="124">
        <v>10.387997299999999</v>
      </c>
      <c r="I3032" s="38">
        <f>IF(H3032&gt;30,QUOTIENT(H3032,30)*VLOOKUP(D3032,'报价表-配送'!$B$84:$I$88,8,0),0)+IF(AND(MOD(H3032,30)&gt;18,MOD(H3032,30)&lt;=30),1,0)*VLOOKUP(D3032,'报价表-配送'!$B$84:$I$88,8,0)</f>
        <v>0</v>
      </c>
      <c r="J3032" s="38">
        <f>IF(AND(MOD(H3032,30)&gt;8,MOD(H3032,30)&lt;=18),1*VLOOKUP(D3032,'报价表-配送'!$B$84:$I$88,7,0),0)</f>
        <v>0</v>
      </c>
      <c r="K3032" s="38">
        <f>IF(AND(MOD(H3032,30)&lt;=8,MOD(H3032,30)&gt;0),1,0)*VLOOKUP(D3032,'报价表-配送'!$B$84:$I$88,6,0)</f>
        <v>0</v>
      </c>
      <c r="L3032" s="121"/>
      <c r="M3032" s="126"/>
      <c r="N3032" s="127">
        <f t="shared" ref="N3032" si="106">SUM(I3032:L3032)</f>
        <v>0</v>
      </c>
    </row>
    <row r="3033" spans="1:14" x14ac:dyDescent="0.25">
      <c r="A3033" s="121" t="s">
        <v>111</v>
      </c>
      <c r="B3033" s="121" t="s">
        <v>124</v>
      </c>
      <c r="C3033" s="62">
        <f>VLOOKUP(B3033,合并仓明细!$D$2:$F$74,3,0)</f>
        <v>229</v>
      </c>
      <c r="D3033" s="122" t="s">
        <v>414</v>
      </c>
      <c r="E3033" s="123">
        <v>45946</v>
      </c>
      <c r="F3033" s="121" t="s">
        <v>66</v>
      </c>
      <c r="G3033" s="121">
        <v>1277.2205000000001</v>
      </c>
      <c r="H3033" s="124"/>
      <c r="I3033" s="125"/>
      <c r="J3033" s="125"/>
      <c r="K3033" s="125"/>
      <c r="L3033" s="121"/>
      <c r="M3033" s="126"/>
      <c r="N3033" s="121"/>
    </row>
    <row r="3034" spans="1:14" x14ac:dyDescent="0.25">
      <c r="A3034" s="121" t="s">
        <v>111</v>
      </c>
      <c r="B3034" s="121" t="s">
        <v>124</v>
      </c>
      <c r="C3034" s="62">
        <f>VLOOKUP(B3034,合并仓明细!$D$2:$F$74,3,0)</f>
        <v>229</v>
      </c>
      <c r="D3034" s="122" t="s">
        <v>414</v>
      </c>
      <c r="E3034" s="123">
        <v>45957</v>
      </c>
      <c r="F3034" s="121" t="s">
        <v>67</v>
      </c>
      <c r="G3034" s="121">
        <v>14286.220673400001</v>
      </c>
      <c r="H3034" s="124">
        <v>15.360249173400002</v>
      </c>
      <c r="I3034" s="38">
        <f>IF(H3034&gt;30,QUOTIENT(H3034,30)*VLOOKUP(D3034,'报价表-配送'!$B$84:$I$88,8,0),0)+IF(AND(MOD(H3034,30)&gt;18,MOD(H3034,30)&lt;=30),1,0)*VLOOKUP(D3034,'报价表-配送'!$B$84:$I$88,8,0)</f>
        <v>0</v>
      </c>
      <c r="J3034" s="38">
        <f>IF(AND(MOD(H3034,30)&gt;8,MOD(H3034,30)&lt;=18),1*VLOOKUP(D3034,'报价表-配送'!$B$84:$I$88,7,0),0)</f>
        <v>0</v>
      </c>
      <c r="K3034" s="38">
        <f>IF(AND(MOD(H3034,30)&lt;=8,MOD(H3034,30)&gt;0),1,0)*VLOOKUP(D3034,'报价表-配送'!$B$84:$I$88,6,0)</f>
        <v>0</v>
      </c>
      <c r="L3034" s="121"/>
      <c r="M3034" s="126"/>
      <c r="N3034" s="127">
        <f t="shared" ref="N3034" si="107">SUM(I3034:L3034)</f>
        <v>0</v>
      </c>
    </row>
    <row r="3035" spans="1:14" x14ac:dyDescent="0.25">
      <c r="A3035" s="121" t="s">
        <v>111</v>
      </c>
      <c r="B3035" s="121" t="s">
        <v>124</v>
      </c>
      <c r="C3035" s="62">
        <f>VLOOKUP(B3035,合并仓明细!$D$2:$F$74,3,0)</f>
        <v>229</v>
      </c>
      <c r="D3035" s="122" t="s">
        <v>414</v>
      </c>
      <c r="E3035" s="123">
        <v>45957</v>
      </c>
      <c r="F3035" s="121" t="s">
        <v>66</v>
      </c>
      <c r="G3035" s="121">
        <v>1074.0284999999999</v>
      </c>
      <c r="H3035" s="124"/>
      <c r="I3035" s="125"/>
      <c r="J3035" s="125"/>
      <c r="K3035" s="125"/>
      <c r="L3035" s="121"/>
      <c r="M3035" s="126"/>
      <c r="N3035" s="121"/>
    </row>
    <row r="3036" spans="1:14" x14ac:dyDescent="0.25">
      <c r="A3036" s="121" t="s">
        <v>111</v>
      </c>
      <c r="B3036" s="121" t="s">
        <v>124</v>
      </c>
      <c r="C3036" s="62">
        <f>VLOOKUP(B3036,合并仓明细!$D$2:$F$74,3,0)</f>
        <v>229</v>
      </c>
      <c r="D3036" s="122" t="s">
        <v>414</v>
      </c>
      <c r="E3036" s="123">
        <v>45967</v>
      </c>
      <c r="F3036" s="121" t="s">
        <v>67</v>
      </c>
      <c r="G3036" s="121">
        <v>19320.610344000001</v>
      </c>
      <c r="H3036" s="124">
        <v>20.015400344000003</v>
      </c>
      <c r="I3036" s="38">
        <f>IF(H3036&gt;30,QUOTIENT(H3036,30)*VLOOKUP(D3036,'报价表-配送'!$B$84:$I$88,8,0),0)+IF(AND(MOD(H3036,30)&gt;18,MOD(H3036,30)&lt;=30),1,0)*VLOOKUP(D3036,'报价表-配送'!$B$84:$I$88,8,0)</f>
        <v>0</v>
      </c>
      <c r="J3036" s="38">
        <f>IF(AND(MOD(H3036,30)&gt;8,MOD(H3036,30)&lt;=18),1*VLOOKUP(D3036,'报价表-配送'!$B$84:$I$88,7,0),0)</f>
        <v>0</v>
      </c>
      <c r="K3036" s="38">
        <f>IF(AND(MOD(H3036,30)&lt;=8,MOD(H3036,30)&gt;0),1,0)*VLOOKUP(D3036,'报价表-配送'!$B$84:$I$88,6,0)</f>
        <v>0</v>
      </c>
      <c r="L3036" s="121"/>
      <c r="M3036" s="126"/>
      <c r="N3036" s="127">
        <f t="shared" ref="N3036" si="108">SUM(I3036:L3036)</f>
        <v>0</v>
      </c>
    </row>
    <row r="3037" spans="1:14" x14ac:dyDescent="0.25">
      <c r="A3037" s="121" t="s">
        <v>111</v>
      </c>
      <c r="B3037" s="121" t="s">
        <v>124</v>
      </c>
      <c r="C3037" s="62">
        <f>VLOOKUP(B3037,合并仓明细!$D$2:$F$74,3,0)</f>
        <v>229</v>
      </c>
      <c r="D3037" s="122" t="s">
        <v>414</v>
      </c>
      <c r="E3037" s="123">
        <v>45967</v>
      </c>
      <c r="F3037" s="121" t="s">
        <v>66</v>
      </c>
      <c r="G3037" s="121">
        <v>694.79000000000008</v>
      </c>
      <c r="H3037" s="124"/>
      <c r="I3037" s="125"/>
      <c r="J3037" s="125"/>
      <c r="K3037" s="125"/>
      <c r="L3037" s="121"/>
      <c r="M3037" s="126"/>
      <c r="N3037" s="121"/>
    </row>
    <row r="3038" spans="1:14" x14ac:dyDescent="0.25">
      <c r="A3038" s="121" t="s">
        <v>111</v>
      </c>
      <c r="B3038" s="121" t="s">
        <v>124</v>
      </c>
      <c r="C3038" s="62">
        <f>VLOOKUP(B3038,合并仓明细!$D$2:$F$74,3,0)</f>
        <v>229</v>
      </c>
      <c r="D3038" s="122" t="s">
        <v>414</v>
      </c>
      <c r="E3038" s="123">
        <v>45973</v>
      </c>
      <c r="F3038" s="121" t="s">
        <v>67</v>
      </c>
      <c r="G3038" s="121">
        <v>22716.679776000001</v>
      </c>
      <c r="H3038" s="124">
        <v>24.014887775999998</v>
      </c>
      <c r="I3038" s="38">
        <f>IF(H3038&gt;30,QUOTIENT(H3038,30)*VLOOKUP(D3038,'报价表-配送'!$B$84:$I$88,8,0),0)+IF(AND(MOD(H3038,30)&gt;18,MOD(H3038,30)&lt;=30),1,0)*VLOOKUP(D3038,'报价表-配送'!$B$84:$I$88,8,0)</f>
        <v>0</v>
      </c>
      <c r="J3038" s="38">
        <f>IF(AND(MOD(H3038,30)&gt;8,MOD(H3038,30)&lt;=18),1*VLOOKUP(D3038,'报价表-配送'!$B$84:$I$88,7,0),0)</f>
        <v>0</v>
      </c>
      <c r="K3038" s="38">
        <f>IF(AND(MOD(H3038,30)&lt;=8,MOD(H3038,30)&gt;0),1,0)*VLOOKUP(D3038,'报价表-配送'!$B$84:$I$88,6,0)</f>
        <v>0</v>
      </c>
      <c r="L3038" s="121"/>
      <c r="M3038" s="126"/>
      <c r="N3038" s="127">
        <f t="shared" ref="N3038" si="109">SUM(I3038:L3038)</f>
        <v>0</v>
      </c>
    </row>
    <row r="3039" spans="1:14" x14ac:dyDescent="0.25">
      <c r="A3039" s="121" t="s">
        <v>111</v>
      </c>
      <c r="B3039" s="121" t="s">
        <v>124</v>
      </c>
      <c r="C3039" s="62">
        <f>VLOOKUP(B3039,合并仓明细!$D$2:$F$74,3,0)</f>
        <v>229</v>
      </c>
      <c r="D3039" s="122" t="s">
        <v>414</v>
      </c>
      <c r="E3039" s="123">
        <v>45973</v>
      </c>
      <c r="F3039" s="121" t="s">
        <v>66</v>
      </c>
      <c r="G3039" s="121">
        <v>1298.2080000000001</v>
      </c>
      <c r="H3039" s="124"/>
      <c r="I3039" s="125"/>
      <c r="J3039" s="125"/>
      <c r="K3039" s="125"/>
      <c r="L3039" s="121"/>
      <c r="M3039" s="126"/>
      <c r="N3039" s="121"/>
    </row>
    <row r="3040" spans="1:14" x14ac:dyDescent="0.25">
      <c r="A3040" s="121" t="s">
        <v>111</v>
      </c>
      <c r="B3040" s="121" t="s">
        <v>124</v>
      </c>
      <c r="C3040" s="62">
        <f>VLOOKUP(B3040,合并仓明细!$D$2:$F$74,3,0)</f>
        <v>229</v>
      </c>
      <c r="D3040" s="122" t="s">
        <v>414</v>
      </c>
      <c r="E3040" s="123">
        <v>45975</v>
      </c>
      <c r="F3040" s="121" t="s">
        <v>66</v>
      </c>
      <c r="G3040" s="121">
        <v>71.800000000000011</v>
      </c>
      <c r="H3040" s="124">
        <v>7.1800000000000017E-2</v>
      </c>
      <c r="I3040" s="125"/>
      <c r="J3040" s="125"/>
      <c r="K3040" s="125"/>
      <c r="L3040" s="37">
        <f>IF(H3040&gt;30,QUOTIENT(H3040,30)*VLOOKUP(D3040,'报价表-配送'!$B$84:$I$88,8,0),0)+IF(AND(MOD(H3040,30)&gt;18,MOD(H3040,30)&lt;=30),1,0)*VLOOKUP(D3040,'报价表-配送'!$B$84:$I$88,8,0)+IF(AND(MOD(H3040,30)&gt;8,MOD(H3040,30)&lt;=18),1*VLOOKUP(D3040,'报价表-配送'!$B$84:$I$88,7,0),0)+IF(AND(MOD(H3040,30)&lt;=8,MOD(H3040,30)&gt;2.5),1,0)*VLOOKUP(D3040,'报价表-配送'!$B$84:$I$88,6,0)+IF(AND(MOD(H3040,30)&lt;=2.5,MOD(H3040,30)&gt;=1.5),1,0)*VLOOKUP(D3040,'报价表-配送'!$B$84:$I$88,5,0)</f>
        <v>0</v>
      </c>
      <c r="M3040" s="39">
        <f>IF(AND(MOD(H3040,30)&lt;1.5,MOD(H3040,30)&gt;=0.5),H3040,0)*VLOOKUP(D3040,'报价表-配送'!$B$84:$I$88,4,0)*1000+IF(AND(MOD(H3040,30)&lt;0.5,MOD(H3040,30)&gt;=0.02),H3040,0)*VLOOKUP(D3040,'报价表-配送'!$B$84:$I$88,3,0)*1000+IF(AND(MOD(H3040,30)&lt;0.02),H3040,0)*VLOOKUP(D3040,'报价表-配送'!$B$84:$I$88,2,0)*1000</f>
        <v>0</v>
      </c>
      <c r="N3040" s="127">
        <f t="shared" ref="N3040:N3041" si="110">SUM(I3040:L3040)</f>
        <v>0</v>
      </c>
    </row>
    <row r="3041" spans="1:14" x14ac:dyDescent="0.25">
      <c r="A3041" s="121" t="s">
        <v>111</v>
      </c>
      <c r="B3041" s="121" t="s">
        <v>124</v>
      </c>
      <c r="C3041" s="62">
        <f>VLOOKUP(B3041,合并仓明细!$D$2:$F$74,3,0)</f>
        <v>229</v>
      </c>
      <c r="D3041" s="122" t="s">
        <v>414</v>
      </c>
      <c r="E3041" s="123">
        <v>45979</v>
      </c>
      <c r="F3041" s="121" t="s">
        <v>67</v>
      </c>
      <c r="G3041" s="121">
        <v>15557.993400000001</v>
      </c>
      <c r="H3041" s="124">
        <v>17.111484566610002</v>
      </c>
      <c r="I3041" s="38">
        <f>IF(H3041&gt;30,QUOTIENT(H3041,30)*VLOOKUP(D3041,'报价表-配送'!$B$84:$I$88,8,0),0)+IF(AND(MOD(H3041,30)&gt;18,MOD(H3041,30)&lt;=30),1,0)*VLOOKUP(D3041,'报价表-配送'!$B$84:$I$88,8,0)</f>
        <v>0</v>
      </c>
      <c r="J3041" s="38">
        <f>IF(AND(MOD(H3041,30)&gt;8,MOD(H3041,30)&lt;=18),1*VLOOKUP(D3041,'报价表-配送'!$B$84:$I$88,7,0),0)</f>
        <v>0</v>
      </c>
      <c r="K3041" s="38">
        <f>IF(AND(MOD(H3041,30)&lt;=8,MOD(H3041,30)&gt;0),1,0)*VLOOKUP(D3041,'报价表-配送'!$B$84:$I$88,6,0)</f>
        <v>0</v>
      </c>
      <c r="L3041" s="121"/>
      <c r="M3041" s="126"/>
      <c r="N3041" s="127">
        <f t="shared" si="110"/>
        <v>0</v>
      </c>
    </row>
    <row r="3042" spans="1:14" x14ac:dyDescent="0.25">
      <c r="A3042" s="121" t="s">
        <v>111</v>
      </c>
      <c r="B3042" s="121" t="s">
        <v>124</v>
      </c>
      <c r="C3042" s="62">
        <f>VLOOKUP(B3042,合并仓明细!$D$2:$F$74,3,0)</f>
        <v>229</v>
      </c>
      <c r="D3042" s="122" t="s">
        <v>414</v>
      </c>
      <c r="E3042" s="123">
        <v>45979</v>
      </c>
      <c r="F3042" s="121" t="s">
        <v>66</v>
      </c>
      <c r="G3042" s="121">
        <v>1553.4911666099999</v>
      </c>
      <c r="H3042" s="124"/>
      <c r="I3042" s="125"/>
      <c r="J3042" s="125"/>
      <c r="K3042" s="125"/>
      <c r="L3042" s="121"/>
      <c r="M3042" s="126"/>
      <c r="N3042" s="121"/>
    </row>
    <row r="3043" spans="1:14" x14ac:dyDescent="0.25">
      <c r="A3043" s="121" t="s">
        <v>111</v>
      </c>
      <c r="B3043" s="121" t="s">
        <v>124</v>
      </c>
      <c r="C3043" s="62">
        <f>VLOOKUP(B3043,合并仓明细!$D$2:$F$74,3,0)</f>
        <v>229</v>
      </c>
      <c r="D3043" s="122" t="s">
        <v>414</v>
      </c>
      <c r="E3043" s="123">
        <v>45987</v>
      </c>
      <c r="F3043" s="121" t="s">
        <v>67</v>
      </c>
      <c r="G3043" s="121">
        <v>18427.478219999997</v>
      </c>
      <c r="H3043" s="124">
        <v>20.243085250249994</v>
      </c>
      <c r="I3043" s="38">
        <f>IF(H3043&gt;30,QUOTIENT(H3043,30)*VLOOKUP(D3043,'报价表-配送'!$B$84:$I$88,8,0),0)+IF(AND(MOD(H3043,30)&gt;18,MOD(H3043,30)&lt;=30),1,0)*VLOOKUP(D3043,'报价表-配送'!$B$84:$I$88,8,0)</f>
        <v>0</v>
      </c>
      <c r="J3043" s="38">
        <f>IF(AND(MOD(H3043,30)&gt;8,MOD(H3043,30)&lt;=18),1*VLOOKUP(D3043,'报价表-配送'!$B$84:$I$88,7,0),0)</f>
        <v>0</v>
      </c>
      <c r="K3043" s="38">
        <f>IF(AND(MOD(H3043,30)&lt;=8,MOD(H3043,30)&gt;0),1,0)*VLOOKUP(D3043,'报价表-配送'!$B$84:$I$88,6,0)</f>
        <v>0</v>
      </c>
      <c r="L3043" s="121"/>
      <c r="M3043" s="126"/>
      <c r="N3043" s="127">
        <f t="shared" ref="N3043" si="111">SUM(I3043:L3043)</f>
        <v>0</v>
      </c>
    </row>
    <row r="3044" spans="1:14" x14ac:dyDescent="0.25">
      <c r="A3044" s="121" t="s">
        <v>111</v>
      </c>
      <c r="B3044" s="121" t="s">
        <v>124</v>
      </c>
      <c r="C3044" s="62">
        <f>VLOOKUP(B3044,合并仓明细!$D$2:$F$74,3,0)</f>
        <v>229</v>
      </c>
      <c r="D3044" s="122" t="s">
        <v>414</v>
      </c>
      <c r="E3044" s="123">
        <v>45987</v>
      </c>
      <c r="F3044" s="121" t="s">
        <v>66</v>
      </c>
      <c r="G3044" s="121">
        <v>1815.6070302499991</v>
      </c>
      <c r="H3044" s="124"/>
      <c r="I3044" s="125"/>
      <c r="J3044" s="125"/>
      <c r="K3044" s="125"/>
      <c r="L3044" s="121"/>
      <c r="M3044" s="126"/>
      <c r="N3044" s="121"/>
    </row>
    <row r="3045" spans="1:14" x14ac:dyDescent="0.25">
      <c r="A3045" s="121" t="s">
        <v>111</v>
      </c>
      <c r="B3045" s="121" t="s">
        <v>124</v>
      </c>
      <c r="C3045" s="62">
        <f>VLOOKUP(B3045,合并仓明细!$D$2:$F$74,3,0)</f>
        <v>229</v>
      </c>
      <c r="D3045" s="122" t="s">
        <v>414</v>
      </c>
      <c r="E3045" s="123">
        <v>45994</v>
      </c>
      <c r="F3045" s="121" t="s">
        <v>66</v>
      </c>
      <c r="G3045" s="121">
        <v>542.41036364000001</v>
      </c>
      <c r="H3045" s="124">
        <v>0.54241036364000006</v>
      </c>
      <c r="I3045" s="125"/>
      <c r="J3045" s="125"/>
      <c r="K3045" s="125"/>
      <c r="L3045" s="37">
        <f>IF(H3045&gt;30,QUOTIENT(H3045,30)*VLOOKUP(D3045,'报价表-配送'!$B$84:$I$88,8,0),0)+IF(AND(MOD(H3045,30)&gt;18,MOD(H3045,30)&lt;=30),1,0)*VLOOKUP(D3045,'报价表-配送'!$B$84:$I$88,8,0)+IF(AND(MOD(H3045,30)&gt;8,MOD(H3045,30)&lt;=18),1*VLOOKUP(D3045,'报价表-配送'!$B$84:$I$88,7,0),0)+IF(AND(MOD(H3045,30)&lt;=8,MOD(H3045,30)&gt;2.5),1,0)*VLOOKUP(D3045,'报价表-配送'!$B$84:$I$88,6,0)+IF(AND(MOD(H3045,30)&lt;=2.5,MOD(H3045,30)&gt;=1.5),1,0)*VLOOKUP(D3045,'报价表-配送'!$B$84:$I$88,5,0)</f>
        <v>0</v>
      </c>
      <c r="M3045" s="39">
        <f>IF(AND(MOD(H3045,30)&lt;1.5,MOD(H3045,30)&gt;=0.5),H3045,0)*VLOOKUP(D3045,'报价表-配送'!$B$84:$I$88,4,0)*1000+IF(AND(MOD(H3045,30)&lt;0.5,MOD(H3045,30)&gt;=0.02),H3045,0)*VLOOKUP(D3045,'报价表-配送'!$B$84:$I$88,3,0)*1000+IF(AND(MOD(H3045,30)&lt;0.02),H3045,0)*VLOOKUP(D3045,'报价表-配送'!$B$84:$I$88,2,0)*1000</f>
        <v>0</v>
      </c>
      <c r="N3045" s="127">
        <f t="shared" ref="N3045:N3046" si="112">SUM(I3045:L3045)</f>
        <v>0</v>
      </c>
    </row>
    <row r="3046" spans="1:14" x14ac:dyDescent="0.25">
      <c r="A3046" s="121" t="s">
        <v>111</v>
      </c>
      <c r="B3046" s="121" t="s">
        <v>124</v>
      </c>
      <c r="C3046" s="62">
        <f>VLOOKUP(B3046,合并仓明细!$D$2:$F$74,3,0)</f>
        <v>229</v>
      </c>
      <c r="D3046" s="122" t="s">
        <v>414</v>
      </c>
      <c r="E3046" s="123">
        <v>46001</v>
      </c>
      <c r="F3046" s="121" t="s">
        <v>67</v>
      </c>
      <c r="G3046" s="121">
        <v>49127.262407999995</v>
      </c>
      <c r="H3046" s="124">
        <v>51.014869407999988</v>
      </c>
      <c r="I3046" s="38">
        <f>IF(H3046&gt;30,QUOTIENT(H3046,30)*VLOOKUP(D3046,'报价表-配送'!$B$84:$I$88,8,0),0)+IF(AND(MOD(H3046,30)&gt;18,MOD(H3046,30)&lt;=30),1,0)*VLOOKUP(D3046,'报价表-配送'!$B$84:$I$88,8,0)</f>
        <v>0</v>
      </c>
      <c r="J3046" s="38">
        <f>IF(AND(MOD(H3046,30)&gt;8,MOD(H3046,30)&lt;=18),1*VLOOKUP(D3046,'报价表-配送'!$B$84:$I$88,7,0),0)</f>
        <v>0</v>
      </c>
      <c r="K3046" s="38">
        <f>IF(AND(MOD(H3046,30)&lt;=8,MOD(H3046,30)&gt;0),1,0)*VLOOKUP(D3046,'报价表-配送'!$B$84:$I$88,6,0)</f>
        <v>0</v>
      </c>
      <c r="L3046" s="121"/>
      <c r="M3046" s="126"/>
      <c r="N3046" s="127">
        <f t="shared" si="112"/>
        <v>0</v>
      </c>
    </row>
    <row r="3047" spans="1:14" x14ac:dyDescent="0.25">
      <c r="A3047" s="121" t="s">
        <v>111</v>
      </c>
      <c r="B3047" s="121" t="s">
        <v>124</v>
      </c>
      <c r="C3047" s="62">
        <f>VLOOKUP(B3047,合并仓明细!$D$2:$F$74,3,0)</f>
        <v>229</v>
      </c>
      <c r="D3047" s="122" t="s">
        <v>414</v>
      </c>
      <c r="E3047" s="123">
        <v>46001</v>
      </c>
      <c r="F3047" s="121" t="s">
        <v>66</v>
      </c>
      <c r="G3047" s="121">
        <v>1887.6069999999997</v>
      </c>
      <c r="H3047" s="124"/>
      <c r="I3047" s="125"/>
      <c r="J3047" s="125"/>
      <c r="K3047" s="125"/>
      <c r="L3047" s="121"/>
      <c r="M3047" s="126"/>
      <c r="N3047" s="121"/>
    </row>
    <row r="3048" spans="1:14" x14ac:dyDescent="0.25">
      <c r="A3048" s="121" t="s">
        <v>111</v>
      </c>
      <c r="B3048" s="121" t="s">
        <v>124</v>
      </c>
      <c r="C3048" s="62">
        <f>VLOOKUP(B3048,合并仓明细!$D$2:$F$74,3,0)</f>
        <v>229</v>
      </c>
      <c r="D3048" s="122" t="s">
        <v>414</v>
      </c>
      <c r="E3048" s="123">
        <v>46010</v>
      </c>
      <c r="F3048" s="121" t="s">
        <v>66</v>
      </c>
      <c r="G3048" s="121">
        <v>44.32</v>
      </c>
      <c r="H3048" s="124">
        <v>4.4319999999999998E-2</v>
      </c>
      <c r="I3048" s="125"/>
      <c r="J3048" s="125"/>
      <c r="K3048" s="125"/>
      <c r="L3048" s="37">
        <f>IF(H3048&gt;30,QUOTIENT(H3048,30)*VLOOKUP(D3048,'报价表-配送'!$B$84:$I$88,8,0),0)+IF(AND(MOD(H3048,30)&gt;18,MOD(H3048,30)&lt;=30),1,0)*VLOOKUP(D3048,'报价表-配送'!$B$84:$I$88,8,0)+IF(AND(MOD(H3048,30)&gt;8,MOD(H3048,30)&lt;=18),1*VLOOKUP(D3048,'报价表-配送'!$B$84:$I$88,7,0),0)+IF(AND(MOD(H3048,30)&lt;=8,MOD(H3048,30)&gt;2.5),1,0)*VLOOKUP(D3048,'报价表-配送'!$B$84:$I$88,6,0)+IF(AND(MOD(H3048,30)&lt;=2.5,MOD(H3048,30)&gt;=1.5),1,0)*VLOOKUP(D3048,'报价表-配送'!$B$84:$I$88,5,0)</f>
        <v>0</v>
      </c>
      <c r="M3048" s="39">
        <f>IF(AND(MOD(H3048,30)&lt;1.5,MOD(H3048,30)&gt;=0.5),H3048,0)*VLOOKUP(D3048,'报价表-配送'!$B$84:$I$88,4,0)*1000+IF(AND(MOD(H3048,30)&lt;0.5,MOD(H3048,30)&gt;=0.02),H3048,0)*VLOOKUP(D3048,'报价表-配送'!$B$84:$I$88,3,0)*1000+IF(AND(MOD(H3048,30)&lt;0.02),H3048,0)*VLOOKUP(D3048,'报价表-配送'!$B$84:$I$88,2,0)*1000</f>
        <v>0</v>
      </c>
      <c r="N3048" s="127">
        <f t="shared" ref="N3048:N3049" si="113">SUM(I3048:L3048)</f>
        <v>0</v>
      </c>
    </row>
    <row r="3049" spans="1:14" x14ac:dyDescent="0.25">
      <c r="A3049" s="121" t="s">
        <v>111</v>
      </c>
      <c r="B3049" s="121" t="s">
        <v>124</v>
      </c>
      <c r="C3049" s="62">
        <f>VLOOKUP(B3049,合并仓明细!$D$2:$F$74,3,0)</f>
        <v>229</v>
      </c>
      <c r="D3049" s="122" t="s">
        <v>414</v>
      </c>
      <c r="E3049" s="123">
        <v>46015</v>
      </c>
      <c r="F3049" s="121" t="s">
        <v>67</v>
      </c>
      <c r="G3049" s="121">
        <v>2265.0473999999999</v>
      </c>
      <c r="H3049" s="124">
        <v>3.3654446728000003</v>
      </c>
      <c r="I3049" s="38">
        <f>IF(H3049&gt;30,QUOTIENT(H3049,30)*VLOOKUP(D3049,'报价表-配送'!$B$84:$I$88,8,0),0)+IF(AND(MOD(H3049,30)&gt;18,MOD(H3049,30)&lt;=30),1,0)*VLOOKUP(D3049,'报价表-配送'!$B$84:$I$88,8,0)</f>
        <v>0</v>
      </c>
      <c r="J3049" s="38">
        <f>IF(AND(MOD(H3049,30)&gt;8,MOD(H3049,30)&lt;=18),1*VLOOKUP(D3049,'报价表-配送'!$B$84:$I$88,7,0),0)</f>
        <v>0</v>
      </c>
      <c r="K3049" s="38">
        <f>IF(AND(MOD(H3049,30)&lt;=8,MOD(H3049,30)&gt;0),1,0)*VLOOKUP(D3049,'报价表-配送'!$B$84:$I$88,6,0)</f>
        <v>0</v>
      </c>
      <c r="L3049" s="121"/>
      <c r="M3049" s="126"/>
      <c r="N3049" s="127">
        <f t="shared" si="113"/>
        <v>0</v>
      </c>
    </row>
    <row r="3050" spans="1:14" x14ac:dyDescent="0.25">
      <c r="A3050" s="121" t="s">
        <v>111</v>
      </c>
      <c r="B3050" s="121" t="s">
        <v>124</v>
      </c>
      <c r="C3050" s="62">
        <f>VLOOKUP(B3050,合并仓明细!$D$2:$F$74,3,0)</f>
        <v>229</v>
      </c>
      <c r="D3050" s="122" t="s">
        <v>414</v>
      </c>
      <c r="E3050" s="123">
        <v>46015</v>
      </c>
      <c r="F3050" s="121" t="s">
        <v>66</v>
      </c>
      <c r="G3050" s="121">
        <v>1100.3972728000001</v>
      </c>
      <c r="H3050" s="124"/>
      <c r="I3050" s="125"/>
      <c r="J3050" s="125"/>
      <c r="K3050" s="125"/>
      <c r="L3050" s="121"/>
      <c r="M3050" s="126"/>
      <c r="N3050" s="121"/>
    </row>
    <row r="3051" spans="1:14" x14ac:dyDescent="0.25">
      <c r="A3051" s="121" t="s">
        <v>111</v>
      </c>
      <c r="B3051" s="121" t="s">
        <v>124</v>
      </c>
      <c r="C3051" s="62">
        <f>VLOOKUP(B3051,合并仓明细!$D$2:$F$74,3,0)</f>
        <v>229</v>
      </c>
      <c r="D3051" s="122" t="s">
        <v>414</v>
      </c>
      <c r="E3051" s="123">
        <v>46029</v>
      </c>
      <c r="F3051" s="121" t="s">
        <v>68</v>
      </c>
      <c r="G3051" s="121">
        <v>460.97136</v>
      </c>
      <c r="H3051" s="124">
        <v>17.960945506270001</v>
      </c>
      <c r="I3051" s="46">
        <f>ROUNDUP(H3051/30,0)*VLOOKUP(D3051,'报价表-配送'!$B$84:$I$88,8,0)</f>
        <v>0</v>
      </c>
      <c r="J3051" s="125"/>
      <c r="K3051" s="125"/>
      <c r="L3051" s="121"/>
      <c r="M3051" s="126"/>
      <c r="N3051" s="127">
        <f t="shared" ref="N3051" si="114">SUM(I3051:L3051)</f>
        <v>0</v>
      </c>
    </row>
    <row r="3052" spans="1:14" x14ac:dyDescent="0.25">
      <c r="A3052" s="121" t="s">
        <v>111</v>
      </c>
      <c r="B3052" s="121" t="s">
        <v>124</v>
      </c>
      <c r="C3052" s="62">
        <f>VLOOKUP(B3052,合并仓明细!$D$2:$F$74,3,0)</f>
        <v>229</v>
      </c>
      <c r="D3052" s="122" t="s">
        <v>414</v>
      </c>
      <c r="E3052" s="123">
        <v>46029</v>
      </c>
      <c r="F3052" s="121" t="s">
        <v>67</v>
      </c>
      <c r="G3052" s="121">
        <v>15090.855648000001</v>
      </c>
      <c r="H3052" s="124"/>
      <c r="I3052" s="125"/>
      <c r="J3052" s="125"/>
      <c r="K3052" s="125"/>
      <c r="L3052" s="121"/>
      <c r="M3052" s="126"/>
      <c r="N3052" s="121"/>
    </row>
    <row r="3053" spans="1:14" x14ac:dyDescent="0.25">
      <c r="A3053" s="121" t="s">
        <v>111</v>
      </c>
      <c r="B3053" s="121" t="s">
        <v>124</v>
      </c>
      <c r="C3053" s="62">
        <f>VLOOKUP(B3053,合并仓明细!$D$2:$F$74,3,0)</f>
        <v>229</v>
      </c>
      <c r="D3053" s="122" t="s">
        <v>414</v>
      </c>
      <c r="E3053" s="123">
        <v>46029</v>
      </c>
      <c r="F3053" s="121" t="s">
        <v>66</v>
      </c>
      <c r="G3053" s="121">
        <v>2409.1184982699997</v>
      </c>
      <c r="H3053" s="124"/>
      <c r="I3053" s="125"/>
      <c r="J3053" s="125"/>
      <c r="K3053" s="125"/>
      <c r="L3053" s="121"/>
      <c r="M3053" s="126"/>
      <c r="N3053" s="121"/>
    </row>
    <row r="3054" spans="1:14" x14ac:dyDescent="0.25">
      <c r="A3054" s="121" t="s">
        <v>111</v>
      </c>
      <c r="B3054" s="121" t="s">
        <v>124</v>
      </c>
      <c r="C3054" s="62">
        <f>VLOOKUP(B3054,合并仓明细!$D$2:$F$74,3,0)</f>
        <v>229</v>
      </c>
      <c r="D3054" s="122" t="s">
        <v>414</v>
      </c>
      <c r="E3054" s="123">
        <v>46035</v>
      </c>
      <c r="F3054" s="121" t="s">
        <v>66</v>
      </c>
      <c r="G3054" s="121">
        <v>911.68200000000002</v>
      </c>
      <c r="H3054" s="124">
        <v>0.91168199999999999</v>
      </c>
      <c r="I3054" s="125"/>
      <c r="J3054" s="125"/>
      <c r="K3054" s="125"/>
      <c r="L3054" s="37">
        <f>IF(H3054&gt;30,QUOTIENT(H3054,30)*VLOOKUP(D3054,'报价表-配送'!$B$84:$I$88,8,0),0)+IF(AND(MOD(H3054,30)&gt;18,MOD(H3054,30)&lt;=30),1,0)*VLOOKUP(D3054,'报价表-配送'!$B$84:$I$88,8,0)+IF(AND(MOD(H3054,30)&gt;8,MOD(H3054,30)&lt;=18),1*VLOOKUP(D3054,'报价表-配送'!$B$84:$I$88,7,0),0)+IF(AND(MOD(H3054,30)&lt;=8,MOD(H3054,30)&gt;2.5),1,0)*VLOOKUP(D3054,'报价表-配送'!$B$84:$I$88,6,0)+IF(AND(MOD(H3054,30)&lt;=2.5,MOD(H3054,30)&gt;=1.5),1,0)*VLOOKUP(D3054,'报价表-配送'!$B$84:$I$88,5,0)</f>
        <v>0</v>
      </c>
      <c r="M3054" s="39">
        <f>IF(AND(MOD(H3054,30)&lt;1.5,MOD(H3054,30)&gt;=0.5),H3054,0)*VLOOKUP(D3054,'报价表-配送'!$B$84:$I$88,4,0)*1000+IF(AND(MOD(H3054,30)&lt;0.5,MOD(H3054,30)&gt;=0.02),H3054,0)*VLOOKUP(D3054,'报价表-配送'!$B$84:$I$88,3,0)*1000+IF(AND(MOD(H3054,30)&lt;0.02),H3054,0)*VLOOKUP(D3054,'报价表-配送'!$B$84:$I$88,2,0)*1000</f>
        <v>0</v>
      </c>
      <c r="N3054" s="127">
        <f t="shared" ref="N3054:N3055" si="115">SUM(I3054:L3054)</f>
        <v>0</v>
      </c>
    </row>
    <row r="3055" spans="1:14" x14ac:dyDescent="0.25">
      <c r="A3055" s="121" t="s">
        <v>111</v>
      </c>
      <c r="B3055" s="121" t="s">
        <v>124</v>
      </c>
      <c r="C3055" s="62">
        <f>VLOOKUP(B3055,合并仓明细!$D$2:$F$74,3,0)</f>
        <v>229</v>
      </c>
      <c r="D3055" s="122" t="s">
        <v>414</v>
      </c>
      <c r="E3055" s="123">
        <v>46036</v>
      </c>
      <c r="F3055" s="121" t="s">
        <v>68</v>
      </c>
      <c r="G3055" s="121">
        <v>2582.4</v>
      </c>
      <c r="H3055" s="124">
        <v>16.271800466249999</v>
      </c>
      <c r="I3055" s="46">
        <f>ROUNDUP(H3055/30,0)*VLOOKUP(D3055,'报价表-配送'!$B$84:$I$88,8,0)</f>
        <v>0</v>
      </c>
      <c r="J3055" s="125"/>
      <c r="K3055" s="125"/>
      <c r="L3055" s="121"/>
      <c r="M3055" s="126"/>
      <c r="N3055" s="127">
        <f t="shared" si="115"/>
        <v>0</v>
      </c>
    </row>
    <row r="3056" spans="1:14" x14ac:dyDescent="0.25">
      <c r="A3056" s="121" t="s">
        <v>111</v>
      </c>
      <c r="B3056" s="121" t="s">
        <v>124</v>
      </c>
      <c r="C3056" s="62">
        <f>VLOOKUP(B3056,合并仓明细!$D$2:$F$74,3,0)</f>
        <v>229</v>
      </c>
      <c r="D3056" s="122" t="s">
        <v>414</v>
      </c>
      <c r="E3056" s="123">
        <v>46036</v>
      </c>
      <c r="F3056" s="121" t="s">
        <v>67</v>
      </c>
      <c r="G3056" s="121">
        <v>12054.663253999999</v>
      </c>
      <c r="H3056" s="124"/>
      <c r="I3056" s="125"/>
      <c r="J3056" s="125"/>
      <c r="K3056" s="125"/>
      <c r="L3056" s="121"/>
      <c r="M3056" s="126"/>
      <c r="N3056" s="121"/>
    </row>
    <row r="3057" spans="1:14" x14ac:dyDescent="0.25">
      <c r="A3057" s="121" t="s">
        <v>111</v>
      </c>
      <c r="B3057" s="121" t="s">
        <v>124</v>
      </c>
      <c r="C3057" s="62">
        <f>VLOOKUP(B3057,合并仓明细!$D$2:$F$74,3,0)</f>
        <v>229</v>
      </c>
      <c r="D3057" s="122" t="s">
        <v>414</v>
      </c>
      <c r="E3057" s="123">
        <v>46036</v>
      </c>
      <c r="F3057" s="121" t="s">
        <v>66</v>
      </c>
      <c r="G3057" s="121">
        <v>1634.7372122499996</v>
      </c>
      <c r="H3057" s="124"/>
      <c r="I3057" s="125"/>
      <c r="J3057" s="125"/>
      <c r="K3057" s="125"/>
      <c r="L3057" s="121"/>
      <c r="M3057" s="126"/>
      <c r="N3057" s="121"/>
    </row>
    <row r="3058" spans="1:14" x14ac:dyDescent="0.25">
      <c r="A3058" s="121" t="s">
        <v>111</v>
      </c>
      <c r="B3058" s="121" t="s">
        <v>124</v>
      </c>
      <c r="C3058" s="62">
        <f>VLOOKUP(B3058,合并仓明细!$D$2:$F$74,3,0)</f>
        <v>229</v>
      </c>
      <c r="D3058" s="122" t="s">
        <v>414</v>
      </c>
      <c r="E3058" s="123">
        <v>46043</v>
      </c>
      <c r="F3058" s="121" t="s">
        <v>68</v>
      </c>
      <c r="G3058" s="121">
        <v>3582.576</v>
      </c>
      <c r="H3058" s="124">
        <v>24.679960980810002</v>
      </c>
      <c r="I3058" s="46">
        <f>ROUNDUP(H3058/30,0)*VLOOKUP(D3058,'报价表-配送'!$B$84:$I$88,8,0)</f>
        <v>0</v>
      </c>
      <c r="J3058" s="125"/>
      <c r="K3058" s="125"/>
      <c r="L3058" s="121"/>
      <c r="M3058" s="126"/>
      <c r="N3058" s="127">
        <f t="shared" ref="N3058" si="116">SUM(I3058:L3058)</f>
        <v>0</v>
      </c>
    </row>
    <row r="3059" spans="1:14" x14ac:dyDescent="0.25">
      <c r="A3059" s="121" t="s">
        <v>111</v>
      </c>
      <c r="B3059" s="121" t="s">
        <v>124</v>
      </c>
      <c r="C3059" s="62">
        <f>VLOOKUP(B3059,合并仓明细!$D$2:$F$74,3,0)</f>
        <v>229</v>
      </c>
      <c r="D3059" s="122" t="s">
        <v>414</v>
      </c>
      <c r="E3059" s="123">
        <v>46043</v>
      </c>
      <c r="F3059" s="121" t="s">
        <v>67</v>
      </c>
      <c r="G3059" s="121">
        <v>18998.595981000002</v>
      </c>
      <c r="H3059" s="124"/>
      <c r="I3059" s="125"/>
      <c r="J3059" s="125"/>
      <c r="K3059" s="125"/>
      <c r="L3059" s="121"/>
      <c r="M3059" s="126"/>
      <c r="N3059" s="121"/>
    </row>
    <row r="3060" spans="1:14" x14ac:dyDescent="0.25">
      <c r="A3060" s="121" t="s">
        <v>111</v>
      </c>
      <c r="B3060" s="121" t="s">
        <v>124</v>
      </c>
      <c r="C3060" s="62">
        <f>VLOOKUP(B3060,合并仓明细!$D$2:$F$74,3,0)</f>
        <v>229</v>
      </c>
      <c r="D3060" s="122" t="s">
        <v>414</v>
      </c>
      <c r="E3060" s="123">
        <v>46043</v>
      </c>
      <c r="F3060" s="121" t="s">
        <v>66</v>
      </c>
      <c r="G3060" s="121">
        <v>2098.7889998099995</v>
      </c>
      <c r="H3060" s="124"/>
      <c r="I3060" s="125"/>
      <c r="J3060" s="125"/>
      <c r="K3060" s="125"/>
      <c r="L3060" s="121"/>
      <c r="M3060" s="126"/>
      <c r="N3060" s="121"/>
    </row>
    <row r="3061" spans="1:14" x14ac:dyDescent="0.25">
      <c r="A3061" s="121" t="s">
        <v>111</v>
      </c>
      <c r="B3061" s="121" t="s">
        <v>124</v>
      </c>
      <c r="C3061" s="62">
        <f>VLOOKUP(B3061,合并仓明细!$D$2:$F$74,3,0)</f>
        <v>229</v>
      </c>
      <c r="D3061" s="122" t="s">
        <v>414</v>
      </c>
      <c r="E3061" s="123">
        <v>46049</v>
      </c>
      <c r="F3061" s="121" t="s">
        <v>67</v>
      </c>
      <c r="G3061" s="121">
        <v>22848.680400000001</v>
      </c>
      <c r="H3061" s="124">
        <v>24.83527973332</v>
      </c>
      <c r="I3061" s="38">
        <f>IF(H3061&gt;30,QUOTIENT(H3061,30)*VLOOKUP(D3061,'报价表-配送'!$B$84:$I$88,8,0),0)+IF(AND(MOD(H3061,30)&gt;18,MOD(H3061,30)&lt;=30),1,0)*VLOOKUP(D3061,'报价表-配送'!$B$84:$I$88,8,0)</f>
        <v>0</v>
      </c>
      <c r="J3061" s="38">
        <f>IF(AND(MOD(H3061,30)&gt;8,MOD(H3061,30)&lt;=18),1*VLOOKUP(D3061,'报价表-配送'!$B$84:$I$88,7,0),0)</f>
        <v>0</v>
      </c>
      <c r="K3061" s="38">
        <f>IF(AND(MOD(H3061,30)&lt;=8,MOD(H3061,30)&gt;0),1,0)*VLOOKUP(D3061,'报价表-配送'!$B$84:$I$88,6,0)</f>
        <v>0</v>
      </c>
      <c r="L3061" s="121"/>
      <c r="M3061" s="126"/>
      <c r="N3061" s="127">
        <f t="shared" ref="N3061" si="117">SUM(I3061:L3061)</f>
        <v>0</v>
      </c>
    </row>
    <row r="3062" spans="1:14" x14ac:dyDescent="0.25">
      <c r="A3062" s="121" t="s">
        <v>111</v>
      </c>
      <c r="B3062" s="121" t="s">
        <v>124</v>
      </c>
      <c r="C3062" s="62">
        <f>VLOOKUP(B3062,合并仓明细!$D$2:$F$74,3,0)</f>
        <v>229</v>
      </c>
      <c r="D3062" s="122" t="s">
        <v>414</v>
      </c>
      <c r="E3062" s="123">
        <v>46049</v>
      </c>
      <c r="F3062" s="121" t="s">
        <v>66</v>
      </c>
      <c r="G3062" s="121">
        <v>1986.5993333199997</v>
      </c>
      <c r="H3062" s="124"/>
      <c r="I3062" s="125"/>
      <c r="J3062" s="125"/>
      <c r="K3062" s="125"/>
      <c r="L3062" s="121"/>
      <c r="M3062" s="126"/>
      <c r="N3062" s="121"/>
    </row>
    <row r="3063" spans="1:14" x14ac:dyDescent="0.25">
      <c r="A3063" s="121" t="s">
        <v>111</v>
      </c>
      <c r="B3063" s="121" t="s">
        <v>124</v>
      </c>
      <c r="C3063" s="62">
        <f>VLOOKUP(B3063,合并仓明细!$D$2:$F$74,3,0)</f>
        <v>229</v>
      </c>
      <c r="D3063" s="122" t="s">
        <v>414</v>
      </c>
      <c r="E3063" s="123">
        <v>46056</v>
      </c>
      <c r="F3063" s="121" t="s">
        <v>68</v>
      </c>
      <c r="G3063" s="121">
        <v>2818.3319999999999</v>
      </c>
      <c r="H3063" s="124">
        <v>11.978506178669999</v>
      </c>
      <c r="I3063" s="46">
        <f>ROUNDUP(H3063/30,0)*VLOOKUP(D3063,'报价表-配送'!$B$84:$I$88,8,0)</f>
        <v>0</v>
      </c>
      <c r="J3063" s="125"/>
      <c r="K3063" s="125"/>
      <c r="L3063" s="121"/>
      <c r="M3063" s="126"/>
      <c r="N3063" s="127">
        <f t="shared" ref="N3063" si="118">SUM(I3063:L3063)</f>
        <v>0</v>
      </c>
    </row>
    <row r="3064" spans="1:14" x14ac:dyDescent="0.25">
      <c r="A3064" s="121" t="s">
        <v>111</v>
      </c>
      <c r="B3064" s="121" t="s">
        <v>124</v>
      </c>
      <c r="C3064" s="62">
        <f>VLOOKUP(B3064,合并仓明细!$D$2:$F$74,3,0)</f>
        <v>229</v>
      </c>
      <c r="D3064" s="122" t="s">
        <v>414</v>
      </c>
      <c r="E3064" s="123">
        <v>46056</v>
      </c>
      <c r="F3064" s="121" t="s">
        <v>67</v>
      </c>
      <c r="G3064" s="121">
        <v>8342.7675119999985</v>
      </c>
      <c r="H3064" s="124"/>
      <c r="I3064" s="125"/>
      <c r="J3064" s="125"/>
      <c r="K3064" s="125"/>
      <c r="L3064" s="121"/>
      <c r="M3064" s="126"/>
      <c r="N3064" s="121"/>
    </row>
    <row r="3065" spans="1:14" x14ac:dyDescent="0.25">
      <c r="A3065" s="121" t="s">
        <v>111</v>
      </c>
      <c r="B3065" s="121" t="s">
        <v>124</v>
      </c>
      <c r="C3065" s="62">
        <f>VLOOKUP(B3065,合并仓明细!$D$2:$F$74,3,0)</f>
        <v>229</v>
      </c>
      <c r="D3065" s="122" t="s">
        <v>414</v>
      </c>
      <c r="E3065" s="123">
        <v>46056</v>
      </c>
      <c r="F3065" s="121" t="s">
        <v>66</v>
      </c>
      <c r="G3065" s="121">
        <v>817.40666667000005</v>
      </c>
      <c r="H3065" s="124"/>
      <c r="I3065" s="125"/>
      <c r="J3065" s="125"/>
      <c r="K3065" s="125"/>
      <c r="L3065" s="121"/>
      <c r="M3065" s="126"/>
      <c r="N3065" s="121"/>
    </row>
    <row r="3066" spans="1:14" x14ac:dyDescent="0.25">
      <c r="A3066" s="121" t="s">
        <v>111</v>
      </c>
      <c r="B3066" s="121" t="s">
        <v>124</v>
      </c>
      <c r="C3066" s="62">
        <f>VLOOKUP(B3066,合并仓明细!$D$2:$F$74,3,0)</f>
        <v>229</v>
      </c>
      <c r="D3066" s="122" t="s">
        <v>414</v>
      </c>
      <c r="E3066" s="123">
        <v>46064</v>
      </c>
      <c r="F3066" s="121" t="s">
        <v>66</v>
      </c>
      <c r="G3066" s="121">
        <v>534.38779999999997</v>
      </c>
      <c r="H3066" s="124">
        <v>0.53438779999999997</v>
      </c>
      <c r="I3066" s="125"/>
      <c r="J3066" s="125"/>
      <c r="K3066" s="125"/>
      <c r="L3066" s="37">
        <f>IF(H3066&gt;30,QUOTIENT(H3066,30)*VLOOKUP(D3066,'报价表-配送'!$B$84:$I$88,8,0),0)+IF(AND(MOD(H3066,30)&gt;18,MOD(H3066,30)&lt;=30),1,0)*VLOOKUP(D3066,'报价表-配送'!$B$84:$I$88,8,0)+IF(AND(MOD(H3066,30)&gt;8,MOD(H3066,30)&lt;=18),1*VLOOKUP(D3066,'报价表-配送'!$B$84:$I$88,7,0),0)+IF(AND(MOD(H3066,30)&lt;=8,MOD(H3066,30)&gt;2.5),1,0)*VLOOKUP(D3066,'报价表-配送'!$B$84:$I$88,6,0)+IF(AND(MOD(H3066,30)&lt;=2.5,MOD(H3066,30)&gt;=1.5),1,0)*VLOOKUP(D3066,'报价表-配送'!$B$84:$I$88,5,0)</f>
        <v>0</v>
      </c>
      <c r="M3066" s="39">
        <f>IF(AND(MOD(H3066,30)&lt;1.5,MOD(H3066,30)&gt;=0.5),H3066,0)*VLOOKUP(D3066,'报价表-配送'!$B$84:$I$88,4,0)*1000+IF(AND(MOD(H3066,30)&lt;0.5,MOD(H3066,30)&gt;=0.02),H3066,0)*VLOOKUP(D3066,'报价表-配送'!$B$84:$I$88,3,0)*1000+IF(AND(MOD(H3066,30)&lt;0.02),H3066,0)*VLOOKUP(D3066,'报价表-配送'!$B$84:$I$88,2,0)*1000</f>
        <v>0</v>
      </c>
      <c r="N3066" s="127">
        <f t="shared" ref="N3066:N3067" si="119">SUM(I3066:L3066)</f>
        <v>0</v>
      </c>
    </row>
    <row r="3067" spans="1:14" x14ac:dyDescent="0.25">
      <c r="A3067" s="121" t="s">
        <v>111</v>
      </c>
      <c r="B3067" s="121" t="s">
        <v>124</v>
      </c>
      <c r="C3067" s="62">
        <f>VLOOKUP(B3067,合并仓明细!$D$2:$F$74,3,0)</f>
        <v>229</v>
      </c>
      <c r="D3067" s="122" t="s">
        <v>414</v>
      </c>
      <c r="E3067" s="123">
        <v>46085</v>
      </c>
      <c r="F3067" s="121" t="s">
        <v>67</v>
      </c>
      <c r="G3067" s="121">
        <v>31992.772328000003</v>
      </c>
      <c r="H3067" s="124">
        <v>35.193601328000007</v>
      </c>
      <c r="I3067" s="38">
        <f>IF(H3067&gt;30,QUOTIENT(H3067,30)*VLOOKUP(D3067,'报价表-配送'!$B$84:$I$88,8,0),0)+IF(AND(MOD(H3067,30)&gt;18,MOD(H3067,30)&lt;=30),1,0)*VLOOKUP(D3067,'报价表-配送'!$B$84:$I$88,8,0)</f>
        <v>0</v>
      </c>
      <c r="J3067" s="38">
        <f>IF(AND(MOD(H3067,30)&gt;8,MOD(H3067,30)&lt;=18),1*VLOOKUP(D3067,'报价表-配送'!$B$84:$I$88,7,0),0)</f>
        <v>0</v>
      </c>
      <c r="K3067" s="38">
        <f>IF(AND(MOD(H3067,30)&lt;=8,MOD(H3067,30)&gt;0),1,0)*VLOOKUP(D3067,'报价表-配送'!$B$84:$I$88,6,0)</f>
        <v>0</v>
      </c>
      <c r="L3067" s="121"/>
      <c r="M3067" s="126"/>
      <c r="N3067" s="127">
        <f t="shared" si="119"/>
        <v>0</v>
      </c>
    </row>
    <row r="3068" spans="1:14" x14ac:dyDescent="0.25">
      <c r="A3068" s="121" t="s">
        <v>111</v>
      </c>
      <c r="B3068" s="121" t="s">
        <v>124</v>
      </c>
      <c r="C3068" s="62">
        <f>VLOOKUP(B3068,合并仓明细!$D$2:$F$74,3,0)</f>
        <v>229</v>
      </c>
      <c r="D3068" s="122" t="s">
        <v>414</v>
      </c>
      <c r="E3068" s="123">
        <v>46085</v>
      </c>
      <c r="F3068" s="121" t="s">
        <v>66</v>
      </c>
      <c r="G3068" s="121">
        <v>3200.8289999999997</v>
      </c>
      <c r="H3068" s="124"/>
      <c r="I3068" s="125"/>
      <c r="J3068" s="125"/>
      <c r="K3068" s="125"/>
      <c r="L3068" s="121"/>
      <c r="M3068" s="126"/>
      <c r="N3068" s="121"/>
    </row>
    <row r="3069" spans="1:14" x14ac:dyDescent="0.25">
      <c r="A3069" s="121" t="s">
        <v>111</v>
      </c>
      <c r="B3069" s="121" t="s">
        <v>124</v>
      </c>
      <c r="C3069" s="62">
        <f>VLOOKUP(B3069,合并仓明细!$D$2:$F$74,3,0)</f>
        <v>229</v>
      </c>
      <c r="D3069" s="122" t="s">
        <v>414</v>
      </c>
      <c r="E3069" s="123">
        <v>46097</v>
      </c>
      <c r="F3069" s="121" t="s">
        <v>67</v>
      </c>
      <c r="G3069" s="121">
        <v>16369.276368000001</v>
      </c>
      <c r="H3069" s="124">
        <v>18.255747082000003</v>
      </c>
      <c r="I3069" s="38">
        <f>IF(H3069&gt;30,QUOTIENT(H3069,30)*VLOOKUP(D3069,'报价表-配送'!$B$84:$I$88,8,0),0)+IF(AND(MOD(H3069,30)&gt;18,MOD(H3069,30)&lt;=30),1,0)*VLOOKUP(D3069,'报价表-配送'!$B$84:$I$88,8,0)</f>
        <v>0</v>
      </c>
      <c r="J3069" s="38">
        <f>IF(AND(MOD(H3069,30)&gt;8,MOD(H3069,30)&lt;=18),1*VLOOKUP(D3069,'报价表-配送'!$B$84:$I$88,7,0),0)</f>
        <v>0</v>
      </c>
      <c r="K3069" s="38">
        <f>IF(AND(MOD(H3069,30)&lt;=8,MOD(H3069,30)&gt;0),1,0)*VLOOKUP(D3069,'报价表-配送'!$B$84:$I$88,6,0)</f>
        <v>0</v>
      </c>
      <c r="L3069" s="121"/>
      <c r="M3069" s="126"/>
      <c r="N3069" s="127">
        <f t="shared" ref="N3069" si="120">SUM(I3069:L3069)</f>
        <v>0</v>
      </c>
    </row>
    <row r="3070" spans="1:14" x14ac:dyDescent="0.25">
      <c r="A3070" s="121" t="s">
        <v>111</v>
      </c>
      <c r="B3070" s="121" t="s">
        <v>124</v>
      </c>
      <c r="C3070" s="62">
        <f>VLOOKUP(B3070,合并仓明细!$D$2:$F$74,3,0)</f>
        <v>229</v>
      </c>
      <c r="D3070" s="122" t="s">
        <v>414</v>
      </c>
      <c r="E3070" s="123">
        <v>46097</v>
      </c>
      <c r="F3070" s="121" t="s">
        <v>66</v>
      </c>
      <c r="G3070" s="121">
        <v>1886.470714</v>
      </c>
      <c r="H3070" s="124"/>
      <c r="I3070" s="125"/>
      <c r="J3070" s="125"/>
      <c r="K3070" s="125"/>
      <c r="L3070" s="121"/>
      <c r="M3070" s="126"/>
      <c r="N3070" s="121"/>
    </row>
    <row r="3071" spans="1:14" x14ac:dyDescent="0.25">
      <c r="A3071" s="121" t="s">
        <v>111</v>
      </c>
      <c r="B3071" s="121" t="s">
        <v>124</v>
      </c>
      <c r="C3071" s="62">
        <f>VLOOKUP(B3071,合并仓明细!$D$2:$F$74,3,0)</f>
        <v>229</v>
      </c>
      <c r="D3071" s="122" t="s">
        <v>414</v>
      </c>
      <c r="E3071" s="123">
        <v>46105</v>
      </c>
      <c r="F3071" s="121" t="s">
        <v>67</v>
      </c>
      <c r="G3071" s="121">
        <v>34.085152000000001</v>
      </c>
      <c r="H3071" s="124">
        <v>5.0290985329999996E-2</v>
      </c>
      <c r="I3071" s="38">
        <f>IF(H3071&gt;30,QUOTIENT(H3071,30)*VLOOKUP(D3071,'报价表-配送'!$B$84:$I$88,8,0),0)+IF(AND(MOD(H3071,30)&gt;18,MOD(H3071,30)&lt;=30),1,0)*VLOOKUP(D3071,'报价表-配送'!$B$84:$I$88,8,0)</f>
        <v>0</v>
      </c>
      <c r="J3071" s="38">
        <f>IF(AND(MOD(H3071,30)&gt;8,MOD(H3071,30)&lt;=18),1*VLOOKUP(D3071,'报价表-配送'!$B$84:$I$88,7,0),0)</f>
        <v>0</v>
      </c>
      <c r="K3071" s="38">
        <f>IF(AND(MOD(H3071,30)&lt;=8,MOD(H3071,30)&gt;0),1,0)*VLOOKUP(D3071,'报价表-配送'!$B$84:$I$88,6,0)</f>
        <v>0</v>
      </c>
      <c r="L3071" s="121"/>
      <c r="M3071" s="126"/>
      <c r="N3071" s="127">
        <f t="shared" ref="N3071" si="121">SUM(I3071:L3071)</f>
        <v>0</v>
      </c>
    </row>
    <row r="3072" spans="1:14" x14ac:dyDescent="0.25">
      <c r="A3072" s="121" t="s">
        <v>111</v>
      </c>
      <c r="B3072" s="121" t="s">
        <v>124</v>
      </c>
      <c r="C3072" s="62">
        <f>VLOOKUP(B3072,合并仓明细!$D$2:$F$74,3,0)</f>
        <v>229</v>
      </c>
      <c r="D3072" s="122" t="s">
        <v>414</v>
      </c>
      <c r="E3072" s="123">
        <v>46105</v>
      </c>
      <c r="F3072" s="121" t="s">
        <v>66</v>
      </c>
      <c r="G3072" s="121">
        <v>16.205833330000001</v>
      </c>
      <c r="H3072" s="124"/>
      <c r="I3072" s="125"/>
      <c r="J3072" s="125"/>
      <c r="K3072" s="125"/>
      <c r="L3072" s="121"/>
      <c r="M3072" s="126"/>
      <c r="N3072" s="121"/>
    </row>
    <row r="3073" spans="1:14" x14ac:dyDescent="0.25">
      <c r="A3073" s="121" t="s">
        <v>111</v>
      </c>
      <c r="B3073" s="121" t="s">
        <v>544</v>
      </c>
      <c r="C3073" s="62">
        <f>VLOOKUP(B3073,合并仓明细!$D$2:$F$74,3,0)</f>
        <v>69</v>
      </c>
      <c r="D3073" s="122" t="s">
        <v>393</v>
      </c>
      <c r="E3073" s="123">
        <v>45943</v>
      </c>
      <c r="F3073" s="121" t="s">
        <v>66</v>
      </c>
      <c r="G3073" s="121">
        <v>595.6400000000001</v>
      </c>
      <c r="H3073" s="124">
        <v>0.59564000000000006</v>
      </c>
      <c r="I3073" s="125"/>
      <c r="J3073" s="125"/>
      <c r="K3073" s="125"/>
      <c r="L3073" s="37">
        <f>IF(H3073&gt;30,QUOTIENT(H3073,30)*VLOOKUP(D3073,'报价表-配送'!$B$84:$I$88,8,0),0)+IF(AND(MOD(H3073,30)&gt;18,MOD(H3073,30)&lt;=30),1,0)*VLOOKUP(D3073,'报价表-配送'!$B$84:$I$88,8,0)+IF(AND(MOD(H3073,30)&gt;8,MOD(H3073,30)&lt;=18),1*VLOOKUP(D3073,'报价表-配送'!$B$84:$I$88,7,0),0)+IF(AND(MOD(H3073,30)&lt;=8,MOD(H3073,30)&gt;2.5),1,0)*VLOOKUP(D3073,'报价表-配送'!$B$84:$I$88,6,0)+IF(AND(MOD(H3073,30)&lt;=2.5,MOD(H3073,30)&gt;=1.5),1,0)*VLOOKUP(D3073,'报价表-配送'!$B$84:$I$88,5,0)</f>
        <v>0</v>
      </c>
      <c r="M3073" s="39">
        <f>IF(AND(MOD(H3073,30)&lt;1.5,MOD(H3073,30)&gt;=0.5),H3073,0)*VLOOKUP(D3073,'报价表-配送'!$B$84:$I$88,4,0)*1000+IF(AND(MOD(H3073,30)&lt;0.5,MOD(H3073,30)&gt;=0.02),H3073,0)*VLOOKUP(D3073,'报价表-配送'!$B$84:$I$88,3,0)*1000+IF(AND(MOD(H3073,30)&lt;0.02),H3073,0)*VLOOKUP(D3073,'报价表-配送'!$B$84:$I$88,2,0)*1000</f>
        <v>0</v>
      </c>
      <c r="N3073" s="127">
        <f t="shared" ref="N3073:N3074" si="122">SUM(I3073:L3073)</f>
        <v>0</v>
      </c>
    </row>
    <row r="3074" spans="1:14" x14ac:dyDescent="0.25">
      <c r="A3074" s="121" t="s">
        <v>111</v>
      </c>
      <c r="B3074" s="121" t="s">
        <v>544</v>
      </c>
      <c r="C3074" s="62">
        <f>VLOOKUP(B3074,合并仓明细!$D$2:$F$74,3,0)</f>
        <v>69</v>
      </c>
      <c r="D3074" s="122" t="s">
        <v>393</v>
      </c>
      <c r="E3074" s="123">
        <v>45944</v>
      </c>
      <c r="F3074" s="121" t="s">
        <v>68</v>
      </c>
      <c r="G3074" s="121">
        <v>4872.1459199999999</v>
      </c>
      <c r="H3074" s="124">
        <v>4.8747459200000005</v>
      </c>
      <c r="I3074" s="46">
        <f>ROUNDUP(H3074/30,0)*VLOOKUP(D3074,'报价表-配送'!$B$84:$I$88,8,0)</f>
        <v>0</v>
      </c>
      <c r="J3074" s="125"/>
      <c r="K3074" s="125"/>
      <c r="L3074" s="121"/>
      <c r="M3074" s="126"/>
      <c r="N3074" s="127">
        <f t="shared" si="122"/>
        <v>0</v>
      </c>
    </row>
    <row r="3075" spans="1:14" x14ac:dyDescent="0.25">
      <c r="A3075" s="121" t="s">
        <v>111</v>
      </c>
      <c r="B3075" s="121" t="s">
        <v>544</v>
      </c>
      <c r="C3075" s="62">
        <f>VLOOKUP(B3075,合并仓明细!$D$2:$F$74,3,0)</f>
        <v>69</v>
      </c>
      <c r="D3075" s="122" t="s">
        <v>393</v>
      </c>
      <c r="E3075" s="123">
        <v>45944</v>
      </c>
      <c r="F3075" s="121" t="s">
        <v>67</v>
      </c>
      <c r="G3075" s="121">
        <v>2.6</v>
      </c>
      <c r="H3075" s="124"/>
      <c r="I3075" s="125"/>
      <c r="J3075" s="125"/>
      <c r="K3075" s="125"/>
      <c r="L3075" s="121"/>
      <c r="M3075" s="126"/>
      <c r="N3075" s="121"/>
    </row>
    <row r="3076" spans="1:14" x14ac:dyDescent="0.25">
      <c r="A3076" s="121" t="s">
        <v>111</v>
      </c>
      <c r="B3076" s="121" t="s">
        <v>544</v>
      </c>
      <c r="C3076" s="62">
        <f>VLOOKUP(B3076,合并仓明细!$D$2:$F$74,3,0)</f>
        <v>69</v>
      </c>
      <c r="D3076" s="122" t="s">
        <v>393</v>
      </c>
      <c r="E3076" s="123">
        <v>45946</v>
      </c>
      <c r="F3076" s="121" t="s">
        <v>66</v>
      </c>
      <c r="G3076" s="121">
        <v>357.79999999999995</v>
      </c>
      <c r="H3076" s="124">
        <v>0.35779999999999995</v>
      </c>
      <c r="I3076" s="125"/>
      <c r="J3076" s="125"/>
      <c r="K3076" s="125"/>
      <c r="L3076" s="37">
        <f>IF(H3076&gt;30,QUOTIENT(H3076,30)*VLOOKUP(D3076,'报价表-配送'!$B$84:$I$88,8,0),0)+IF(AND(MOD(H3076,30)&gt;18,MOD(H3076,30)&lt;=30),1,0)*VLOOKUP(D3076,'报价表-配送'!$B$84:$I$88,8,0)+IF(AND(MOD(H3076,30)&gt;8,MOD(H3076,30)&lt;=18),1*VLOOKUP(D3076,'报价表-配送'!$B$84:$I$88,7,0),0)+IF(AND(MOD(H3076,30)&lt;=8,MOD(H3076,30)&gt;2.5),1,0)*VLOOKUP(D3076,'报价表-配送'!$B$84:$I$88,6,0)+IF(AND(MOD(H3076,30)&lt;=2.5,MOD(H3076,30)&gt;=1.5),1,0)*VLOOKUP(D3076,'报价表-配送'!$B$84:$I$88,5,0)</f>
        <v>0</v>
      </c>
      <c r="M3076" s="39">
        <f>IF(AND(MOD(H3076,30)&lt;1.5,MOD(H3076,30)&gt;=0.5),H3076,0)*VLOOKUP(D3076,'报价表-配送'!$B$84:$I$88,4,0)*1000+IF(AND(MOD(H3076,30)&lt;0.5,MOD(H3076,30)&gt;=0.02),H3076,0)*VLOOKUP(D3076,'报价表-配送'!$B$84:$I$88,3,0)*1000+IF(AND(MOD(H3076,30)&lt;0.02),H3076,0)*VLOOKUP(D3076,'报价表-配送'!$B$84:$I$88,2,0)*1000</f>
        <v>0</v>
      </c>
      <c r="N3076" s="127">
        <f t="shared" ref="N3076:N3077" si="123">SUM(I3076:L3076)</f>
        <v>0</v>
      </c>
    </row>
    <row r="3077" spans="1:14" x14ac:dyDescent="0.25">
      <c r="A3077" s="121" t="s">
        <v>111</v>
      </c>
      <c r="B3077" s="121" t="s">
        <v>544</v>
      </c>
      <c r="C3077" s="62">
        <f>VLOOKUP(B3077,合并仓明细!$D$2:$F$74,3,0)</f>
        <v>69</v>
      </c>
      <c r="D3077" s="122" t="s">
        <v>393</v>
      </c>
      <c r="E3077" s="123">
        <v>45952</v>
      </c>
      <c r="F3077" s="121" t="s">
        <v>67</v>
      </c>
      <c r="G3077" s="121">
        <v>4768.0060199999998</v>
      </c>
      <c r="H3077" s="124">
        <v>4.9808640200000003</v>
      </c>
      <c r="I3077" s="38">
        <f>IF(H3077&gt;30,QUOTIENT(H3077,30)*VLOOKUP(D3077,'报价表-配送'!$B$84:$I$88,8,0),0)+IF(AND(MOD(H3077,30)&gt;18,MOD(H3077,30)&lt;=30),1,0)*VLOOKUP(D3077,'报价表-配送'!$B$84:$I$88,8,0)</f>
        <v>0</v>
      </c>
      <c r="J3077" s="38">
        <f>IF(AND(MOD(H3077,30)&gt;8,MOD(H3077,30)&lt;=18),1*VLOOKUP(D3077,'报价表-配送'!$B$84:$I$88,7,0),0)</f>
        <v>0</v>
      </c>
      <c r="K3077" s="38">
        <f>IF(AND(MOD(H3077,30)&lt;=8,MOD(H3077,30)&gt;0),1,0)*VLOOKUP(D3077,'报价表-配送'!$B$84:$I$88,6,0)</f>
        <v>0</v>
      </c>
      <c r="L3077" s="121"/>
      <c r="M3077" s="126"/>
      <c r="N3077" s="127">
        <f t="shared" si="123"/>
        <v>0</v>
      </c>
    </row>
    <row r="3078" spans="1:14" x14ac:dyDescent="0.25">
      <c r="A3078" s="121" t="s">
        <v>111</v>
      </c>
      <c r="B3078" s="121" t="s">
        <v>545</v>
      </c>
      <c r="C3078" s="62">
        <f>VLOOKUP(B3078,合并仓明细!$D$2:$F$74,3,0)</f>
        <v>69</v>
      </c>
      <c r="D3078" s="122" t="s">
        <v>393</v>
      </c>
      <c r="E3078" s="123">
        <v>45952</v>
      </c>
      <c r="F3078" s="121" t="s">
        <v>66</v>
      </c>
      <c r="G3078" s="121">
        <v>212.858</v>
      </c>
      <c r="H3078" s="124"/>
      <c r="I3078" s="125"/>
      <c r="J3078" s="125"/>
      <c r="K3078" s="125"/>
      <c r="L3078" s="121"/>
      <c r="M3078" s="126"/>
      <c r="N3078" s="121"/>
    </row>
    <row r="3079" spans="1:14" x14ac:dyDescent="0.25">
      <c r="A3079" s="121" t="s">
        <v>111</v>
      </c>
      <c r="B3079" s="121" t="s">
        <v>544</v>
      </c>
      <c r="C3079" s="62">
        <f>VLOOKUP(B3079,合并仓明细!$D$2:$F$74,3,0)</f>
        <v>69</v>
      </c>
      <c r="D3079" s="122" t="s">
        <v>393</v>
      </c>
      <c r="E3079" s="123">
        <v>45957</v>
      </c>
      <c r="F3079" s="121" t="s">
        <v>66</v>
      </c>
      <c r="G3079" s="121">
        <v>711.29</v>
      </c>
      <c r="H3079" s="124">
        <v>0.71128999999999998</v>
      </c>
      <c r="I3079" s="125"/>
      <c r="J3079" s="125"/>
      <c r="K3079" s="125"/>
      <c r="L3079" s="37">
        <f>IF(H3079&gt;30,QUOTIENT(H3079,30)*VLOOKUP(D3079,'报价表-配送'!$B$84:$I$88,8,0),0)+IF(AND(MOD(H3079,30)&gt;18,MOD(H3079,30)&lt;=30),1,0)*VLOOKUP(D3079,'报价表-配送'!$B$84:$I$88,8,0)+IF(AND(MOD(H3079,30)&gt;8,MOD(H3079,30)&lt;=18),1*VLOOKUP(D3079,'报价表-配送'!$B$84:$I$88,7,0),0)+IF(AND(MOD(H3079,30)&lt;=8,MOD(H3079,30)&gt;2.5),1,0)*VLOOKUP(D3079,'报价表-配送'!$B$84:$I$88,6,0)+IF(AND(MOD(H3079,30)&lt;=2.5,MOD(H3079,30)&gt;=1.5),1,0)*VLOOKUP(D3079,'报价表-配送'!$B$84:$I$88,5,0)</f>
        <v>0</v>
      </c>
      <c r="M3079" s="39">
        <f>IF(AND(MOD(H3079,30)&lt;1.5,MOD(H3079,30)&gt;=0.5),H3079,0)*VLOOKUP(D3079,'报价表-配送'!$B$84:$I$88,4,0)*1000+IF(AND(MOD(H3079,30)&lt;0.5,MOD(H3079,30)&gt;=0.02),H3079,0)*VLOOKUP(D3079,'报价表-配送'!$B$84:$I$88,3,0)*1000+IF(AND(MOD(H3079,30)&lt;0.02),H3079,0)*VLOOKUP(D3079,'报价表-配送'!$B$84:$I$88,2,0)*1000</f>
        <v>0</v>
      </c>
      <c r="N3079" s="127">
        <f t="shared" ref="N3079:N3080" si="124">SUM(I3079:L3079)</f>
        <v>0</v>
      </c>
    </row>
    <row r="3080" spans="1:14" x14ac:dyDescent="0.25">
      <c r="A3080" s="121" t="s">
        <v>111</v>
      </c>
      <c r="B3080" s="121" t="s">
        <v>544</v>
      </c>
      <c r="C3080" s="62">
        <f>VLOOKUP(B3080,合并仓明细!$D$2:$F$74,3,0)</f>
        <v>69</v>
      </c>
      <c r="D3080" s="122" t="s">
        <v>393</v>
      </c>
      <c r="E3080" s="123">
        <v>45967</v>
      </c>
      <c r="F3080" s="121" t="s">
        <v>68</v>
      </c>
      <c r="G3080" s="121">
        <v>553.30295999999998</v>
      </c>
      <c r="H3080" s="124">
        <v>3.4631182600000003</v>
      </c>
      <c r="I3080" s="46">
        <f>ROUNDUP(H3080/30,0)*VLOOKUP(D3080,'报价表-配送'!$B$84:$I$88,8,0)</f>
        <v>0</v>
      </c>
      <c r="J3080" s="125"/>
      <c r="K3080" s="125"/>
      <c r="L3080" s="121"/>
      <c r="M3080" s="126"/>
      <c r="N3080" s="127">
        <f t="shared" si="124"/>
        <v>0</v>
      </c>
    </row>
    <row r="3081" spans="1:14" x14ac:dyDescent="0.25">
      <c r="A3081" s="121" t="s">
        <v>111</v>
      </c>
      <c r="B3081" s="121" t="s">
        <v>544</v>
      </c>
      <c r="C3081" s="62">
        <f>VLOOKUP(B3081,合并仓明细!$D$2:$F$74,3,0)</f>
        <v>69</v>
      </c>
      <c r="D3081" s="122" t="s">
        <v>393</v>
      </c>
      <c r="E3081" s="123">
        <v>45967</v>
      </c>
      <c r="F3081" s="121" t="s">
        <v>67</v>
      </c>
      <c r="G3081" s="121">
        <v>2909.8153000000002</v>
      </c>
      <c r="H3081" s="124"/>
      <c r="I3081" s="125"/>
      <c r="J3081" s="125"/>
      <c r="K3081" s="125"/>
      <c r="L3081" s="121"/>
      <c r="M3081" s="126"/>
      <c r="N3081" s="121"/>
    </row>
    <row r="3082" spans="1:14" x14ac:dyDescent="0.25">
      <c r="A3082" s="121" t="s">
        <v>111</v>
      </c>
      <c r="B3082" s="121" t="s">
        <v>544</v>
      </c>
      <c r="C3082" s="62">
        <f>VLOOKUP(B3082,合并仓明细!$D$2:$F$74,3,0)</f>
        <v>69</v>
      </c>
      <c r="D3082" s="122" t="s">
        <v>393</v>
      </c>
      <c r="E3082" s="123">
        <v>45972</v>
      </c>
      <c r="F3082" s="121" t="s">
        <v>66</v>
      </c>
      <c r="G3082" s="121">
        <v>1851.0399999000001</v>
      </c>
      <c r="H3082" s="124">
        <v>1.8510399999</v>
      </c>
      <c r="I3082" s="125"/>
      <c r="J3082" s="125"/>
      <c r="K3082" s="125"/>
      <c r="L3082" s="37">
        <f>IF(H3082&gt;30,QUOTIENT(H3082,30)*VLOOKUP(D3082,'报价表-配送'!$B$84:$I$88,8,0),0)+IF(AND(MOD(H3082,30)&gt;18,MOD(H3082,30)&lt;=30),1,0)*VLOOKUP(D3082,'报价表-配送'!$B$84:$I$88,8,0)+IF(AND(MOD(H3082,30)&gt;8,MOD(H3082,30)&lt;=18),1*VLOOKUP(D3082,'报价表-配送'!$B$84:$I$88,7,0),0)+IF(AND(MOD(H3082,30)&lt;=8,MOD(H3082,30)&gt;2.5),1,0)*VLOOKUP(D3082,'报价表-配送'!$B$84:$I$88,6,0)+IF(AND(MOD(H3082,30)&lt;=2.5,MOD(H3082,30)&gt;=1.5),1,0)*VLOOKUP(D3082,'报价表-配送'!$B$84:$I$88,5,0)</f>
        <v>0</v>
      </c>
      <c r="M3082" s="39">
        <f>IF(AND(MOD(H3082,30)&lt;1.5,MOD(H3082,30)&gt;=0.5),H3082,0)*VLOOKUP(D3082,'报价表-配送'!$B$84:$I$88,4,0)*1000+IF(AND(MOD(H3082,30)&lt;0.5,MOD(H3082,30)&gt;=0.02),H3082,0)*VLOOKUP(D3082,'报价表-配送'!$B$84:$I$88,3,0)*1000+IF(AND(MOD(H3082,30)&lt;0.02),H3082,0)*VLOOKUP(D3082,'报价表-配送'!$B$84:$I$88,2,0)*1000</f>
        <v>0</v>
      </c>
      <c r="N3082" s="127">
        <f t="shared" ref="N3082:N3085" si="125">SUM(I3082:L3082)</f>
        <v>0</v>
      </c>
    </row>
    <row r="3083" spans="1:14" x14ac:dyDescent="0.25">
      <c r="A3083" s="121" t="s">
        <v>111</v>
      </c>
      <c r="B3083" s="121" t="s">
        <v>544</v>
      </c>
      <c r="C3083" s="62">
        <f>VLOOKUP(B3083,合并仓明细!$D$2:$F$74,3,0)</f>
        <v>69</v>
      </c>
      <c r="D3083" s="122" t="s">
        <v>393</v>
      </c>
      <c r="E3083" s="123">
        <v>45975</v>
      </c>
      <c r="F3083" s="121" t="s">
        <v>66</v>
      </c>
      <c r="G3083" s="121">
        <v>160.79249999999996</v>
      </c>
      <c r="H3083" s="124">
        <v>0.16079249999999995</v>
      </c>
      <c r="I3083" s="125"/>
      <c r="J3083" s="125"/>
      <c r="K3083" s="125"/>
      <c r="L3083" s="37">
        <f>IF(H3083&gt;30,QUOTIENT(H3083,30)*VLOOKUP(D3083,'报价表-配送'!$B$84:$I$88,8,0),0)+IF(AND(MOD(H3083,30)&gt;18,MOD(H3083,30)&lt;=30),1,0)*VLOOKUP(D3083,'报价表-配送'!$B$84:$I$88,8,0)+IF(AND(MOD(H3083,30)&gt;8,MOD(H3083,30)&lt;=18),1*VLOOKUP(D3083,'报价表-配送'!$B$84:$I$88,7,0),0)+IF(AND(MOD(H3083,30)&lt;=8,MOD(H3083,30)&gt;2.5),1,0)*VLOOKUP(D3083,'报价表-配送'!$B$84:$I$88,6,0)+IF(AND(MOD(H3083,30)&lt;=2.5,MOD(H3083,30)&gt;=1.5),1,0)*VLOOKUP(D3083,'报价表-配送'!$B$84:$I$88,5,0)</f>
        <v>0</v>
      </c>
      <c r="M3083" s="39">
        <f>IF(AND(MOD(H3083,30)&lt;1.5,MOD(H3083,30)&gt;=0.5),H3083,0)*VLOOKUP(D3083,'报价表-配送'!$B$84:$I$88,4,0)*1000+IF(AND(MOD(H3083,30)&lt;0.5,MOD(H3083,30)&gt;=0.02),H3083,0)*VLOOKUP(D3083,'报价表-配送'!$B$84:$I$88,3,0)*1000+IF(AND(MOD(H3083,30)&lt;0.02),H3083,0)*VLOOKUP(D3083,'报价表-配送'!$B$84:$I$88,2,0)*1000</f>
        <v>0</v>
      </c>
      <c r="N3083" s="127">
        <f t="shared" si="125"/>
        <v>0</v>
      </c>
    </row>
    <row r="3084" spans="1:14" x14ac:dyDescent="0.25">
      <c r="A3084" s="121" t="s">
        <v>111</v>
      </c>
      <c r="B3084" s="121" t="s">
        <v>544</v>
      </c>
      <c r="C3084" s="62">
        <f>VLOOKUP(B3084,合并仓明细!$D$2:$F$74,3,0)</f>
        <v>69</v>
      </c>
      <c r="D3084" s="122" t="s">
        <v>393</v>
      </c>
      <c r="E3084" s="123">
        <v>45979</v>
      </c>
      <c r="F3084" s="121" t="s">
        <v>66</v>
      </c>
      <c r="G3084" s="121">
        <v>1727.5874999999999</v>
      </c>
      <c r="H3084" s="124">
        <v>1.7275874999999998</v>
      </c>
      <c r="I3084" s="125"/>
      <c r="J3084" s="125"/>
      <c r="K3084" s="125"/>
      <c r="L3084" s="37">
        <f>IF(H3084&gt;30,QUOTIENT(H3084,30)*VLOOKUP(D3084,'报价表-配送'!$B$84:$I$88,8,0),0)+IF(AND(MOD(H3084,30)&gt;18,MOD(H3084,30)&lt;=30),1,0)*VLOOKUP(D3084,'报价表-配送'!$B$84:$I$88,8,0)+IF(AND(MOD(H3084,30)&gt;8,MOD(H3084,30)&lt;=18),1*VLOOKUP(D3084,'报价表-配送'!$B$84:$I$88,7,0),0)+IF(AND(MOD(H3084,30)&lt;=8,MOD(H3084,30)&gt;2.5),1,0)*VLOOKUP(D3084,'报价表-配送'!$B$84:$I$88,6,0)+IF(AND(MOD(H3084,30)&lt;=2.5,MOD(H3084,30)&gt;=1.5),1,0)*VLOOKUP(D3084,'报价表-配送'!$B$84:$I$88,5,0)</f>
        <v>0</v>
      </c>
      <c r="M3084" s="39">
        <f>IF(AND(MOD(H3084,30)&lt;1.5,MOD(H3084,30)&gt;=0.5),H3084,0)*VLOOKUP(D3084,'报价表-配送'!$B$84:$I$88,4,0)*1000+IF(AND(MOD(H3084,30)&lt;0.5,MOD(H3084,30)&gt;=0.02),H3084,0)*VLOOKUP(D3084,'报价表-配送'!$B$84:$I$88,3,0)*1000+IF(AND(MOD(H3084,30)&lt;0.02),H3084,0)*VLOOKUP(D3084,'报价表-配送'!$B$84:$I$88,2,0)*1000</f>
        <v>0</v>
      </c>
      <c r="N3084" s="127">
        <f t="shared" si="125"/>
        <v>0</v>
      </c>
    </row>
    <row r="3085" spans="1:14" x14ac:dyDescent="0.25">
      <c r="A3085" s="121" t="s">
        <v>111</v>
      </c>
      <c r="B3085" s="121" t="s">
        <v>544</v>
      </c>
      <c r="C3085" s="62">
        <f>VLOOKUP(B3085,合并仓明细!$D$2:$F$74,3,0)</f>
        <v>69</v>
      </c>
      <c r="D3085" s="122" t="s">
        <v>393</v>
      </c>
      <c r="E3085" s="123">
        <v>45987</v>
      </c>
      <c r="F3085" s="121" t="s">
        <v>68</v>
      </c>
      <c r="G3085" s="121">
        <v>127.7148</v>
      </c>
      <c r="H3085" s="124">
        <v>1.3745147999999998</v>
      </c>
      <c r="I3085" s="46">
        <f>ROUNDUP(H3085/30,0)*VLOOKUP(D3085,'报价表-配送'!$B$84:$I$88,8,0)</f>
        <v>0</v>
      </c>
      <c r="J3085" s="125"/>
      <c r="K3085" s="125"/>
      <c r="L3085" s="121"/>
      <c r="M3085" s="126"/>
      <c r="N3085" s="127">
        <f t="shared" si="125"/>
        <v>0</v>
      </c>
    </row>
    <row r="3086" spans="1:14" x14ac:dyDescent="0.25">
      <c r="A3086" s="121" t="s">
        <v>111</v>
      </c>
      <c r="B3086" s="121" t="s">
        <v>544</v>
      </c>
      <c r="C3086" s="62">
        <f>VLOOKUP(B3086,合并仓明细!$D$2:$F$74,3,0)</f>
        <v>69</v>
      </c>
      <c r="D3086" s="122" t="s">
        <v>393</v>
      </c>
      <c r="E3086" s="123">
        <v>45987</v>
      </c>
      <c r="F3086" s="121" t="s">
        <v>67</v>
      </c>
      <c r="G3086" s="121">
        <v>1246.8</v>
      </c>
      <c r="H3086" s="124"/>
      <c r="I3086" s="125"/>
      <c r="J3086" s="125"/>
      <c r="K3086" s="125"/>
      <c r="L3086" s="121"/>
      <c r="M3086" s="126"/>
      <c r="N3086" s="121"/>
    </row>
    <row r="3087" spans="1:14" x14ac:dyDescent="0.25">
      <c r="A3087" s="121" t="s">
        <v>111</v>
      </c>
      <c r="B3087" s="121" t="s">
        <v>545</v>
      </c>
      <c r="C3087" s="62">
        <f>VLOOKUP(B3087,合并仓明细!$D$2:$F$74,3,0)</f>
        <v>69</v>
      </c>
      <c r="D3087" s="122" t="s">
        <v>393</v>
      </c>
      <c r="E3087" s="123">
        <v>45994</v>
      </c>
      <c r="F3087" s="121" t="s">
        <v>66</v>
      </c>
      <c r="G3087" s="121">
        <v>1097.1300000000001</v>
      </c>
      <c r="H3087" s="124">
        <v>1.0971300000000002</v>
      </c>
      <c r="I3087" s="125"/>
      <c r="J3087" s="125"/>
      <c r="K3087" s="125"/>
      <c r="L3087" s="37">
        <f>IF(H3087&gt;30,QUOTIENT(H3087,30)*VLOOKUP(D3087,'报价表-配送'!$B$84:$I$88,8,0),0)+IF(AND(MOD(H3087,30)&gt;18,MOD(H3087,30)&lt;=30),1,0)*VLOOKUP(D3087,'报价表-配送'!$B$84:$I$88,8,0)+IF(AND(MOD(H3087,30)&gt;8,MOD(H3087,30)&lt;=18),1*VLOOKUP(D3087,'报价表-配送'!$B$84:$I$88,7,0),0)+IF(AND(MOD(H3087,30)&lt;=8,MOD(H3087,30)&gt;2.5),1,0)*VLOOKUP(D3087,'报价表-配送'!$B$84:$I$88,6,0)+IF(AND(MOD(H3087,30)&lt;=2.5,MOD(H3087,30)&gt;=1.5),1,0)*VLOOKUP(D3087,'报价表-配送'!$B$84:$I$88,5,0)</f>
        <v>0</v>
      </c>
      <c r="M3087" s="39">
        <f>IF(AND(MOD(H3087,30)&lt;1.5,MOD(H3087,30)&gt;=0.5),H3087,0)*VLOOKUP(D3087,'报价表-配送'!$B$84:$I$88,4,0)*1000+IF(AND(MOD(H3087,30)&lt;0.5,MOD(H3087,30)&gt;=0.02),H3087,0)*VLOOKUP(D3087,'报价表-配送'!$B$84:$I$88,3,0)*1000+IF(AND(MOD(H3087,30)&lt;0.02),H3087,0)*VLOOKUP(D3087,'报价表-配送'!$B$84:$I$88,2,0)*1000</f>
        <v>0</v>
      </c>
      <c r="N3087" s="127">
        <f t="shared" ref="N3087:N3090" si="126">SUM(I3087:L3087)</f>
        <v>0</v>
      </c>
    </row>
    <row r="3088" spans="1:14" x14ac:dyDescent="0.25">
      <c r="A3088" s="121" t="s">
        <v>111</v>
      </c>
      <c r="B3088" s="121" t="s">
        <v>544</v>
      </c>
      <c r="C3088" s="62">
        <f>VLOOKUP(B3088,合并仓明细!$D$2:$F$74,3,0)</f>
        <v>69</v>
      </c>
      <c r="D3088" s="122" t="s">
        <v>393</v>
      </c>
      <c r="E3088" s="123">
        <v>46002</v>
      </c>
      <c r="F3088" s="121" t="s">
        <v>66</v>
      </c>
      <c r="G3088" s="121">
        <v>775.82758309999997</v>
      </c>
      <c r="H3088" s="124">
        <v>0.7758275831</v>
      </c>
      <c r="I3088" s="125"/>
      <c r="J3088" s="125"/>
      <c r="K3088" s="125"/>
      <c r="L3088" s="37">
        <f>IF(H3088&gt;30,QUOTIENT(H3088,30)*VLOOKUP(D3088,'报价表-配送'!$B$84:$I$88,8,0),0)+IF(AND(MOD(H3088,30)&gt;18,MOD(H3088,30)&lt;=30),1,0)*VLOOKUP(D3088,'报价表-配送'!$B$84:$I$88,8,0)+IF(AND(MOD(H3088,30)&gt;8,MOD(H3088,30)&lt;=18),1*VLOOKUP(D3088,'报价表-配送'!$B$84:$I$88,7,0),0)+IF(AND(MOD(H3088,30)&lt;=8,MOD(H3088,30)&gt;2.5),1,0)*VLOOKUP(D3088,'报价表-配送'!$B$84:$I$88,6,0)+IF(AND(MOD(H3088,30)&lt;=2.5,MOD(H3088,30)&gt;=1.5),1,0)*VLOOKUP(D3088,'报价表-配送'!$B$84:$I$88,5,0)</f>
        <v>0</v>
      </c>
      <c r="M3088" s="39">
        <f>IF(AND(MOD(H3088,30)&lt;1.5,MOD(H3088,30)&gt;=0.5),H3088,0)*VLOOKUP(D3088,'报价表-配送'!$B$84:$I$88,4,0)*1000+IF(AND(MOD(H3088,30)&lt;0.5,MOD(H3088,30)&gt;=0.02),H3088,0)*VLOOKUP(D3088,'报价表-配送'!$B$84:$I$88,3,0)*1000+IF(AND(MOD(H3088,30)&lt;0.02),H3088,0)*VLOOKUP(D3088,'报价表-配送'!$B$84:$I$88,2,0)*1000</f>
        <v>0</v>
      </c>
      <c r="N3088" s="127">
        <f t="shared" si="126"/>
        <v>0</v>
      </c>
    </row>
    <row r="3089" spans="1:14" x14ac:dyDescent="0.25">
      <c r="A3089" s="121" t="s">
        <v>111</v>
      </c>
      <c r="B3089" s="121" t="s">
        <v>544</v>
      </c>
      <c r="C3089" s="62">
        <f>VLOOKUP(B3089,合并仓明细!$D$2:$F$74,3,0)</f>
        <v>69</v>
      </c>
      <c r="D3089" s="122" t="s">
        <v>393</v>
      </c>
      <c r="E3089" s="123">
        <v>46014</v>
      </c>
      <c r="F3089" s="121" t="s">
        <v>66</v>
      </c>
      <c r="G3089" s="121">
        <v>540.01</v>
      </c>
      <c r="H3089" s="124">
        <v>0.54000999999999999</v>
      </c>
      <c r="I3089" s="125"/>
      <c r="J3089" s="125"/>
      <c r="K3089" s="125"/>
      <c r="L3089" s="37">
        <f>IF(H3089&gt;30,QUOTIENT(H3089,30)*VLOOKUP(D3089,'报价表-配送'!$B$84:$I$88,8,0),0)+IF(AND(MOD(H3089,30)&gt;18,MOD(H3089,30)&lt;=30),1,0)*VLOOKUP(D3089,'报价表-配送'!$B$84:$I$88,8,0)+IF(AND(MOD(H3089,30)&gt;8,MOD(H3089,30)&lt;=18),1*VLOOKUP(D3089,'报价表-配送'!$B$84:$I$88,7,0),0)+IF(AND(MOD(H3089,30)&lt;=8,MOD(H3089,30)&gt;2.5),1,0)*VLOOKUP(D3089,'报价表-配送'!$B$84:$I$88,6,0)+IF(AND(MOD(H3089,30)&lt;=2.5,MOD(H3089,30)&gt;=1.5),1,0)*VLOOKUP(D3089,'报价表-配送'!$B$84:$I$88,5,0)</f>
        <v>0</v>
      </c>
      <c r="M3089" s="39">
        <f>IF(AND(MOD(H3089,30)&lt;1.5,MOD(H3089,30)&gt;=0.5),H3089,0)*VLOOKUP(D3089,'报价表-配送'!$B$84:$I$88,4,0)*1000+IF(AND(MOD(H3089,30)&lt;0.5,MOD(H3089,30)&gt;=0.02),H3089,0)*VLOOKUP(D3089,'报价表-配送'!$B$84:$I$88,3,0)*1000+IF(AND(MOD(H3089,30)&lt;0.02),H3089,0)*VLOOKUP(D3089,'报价表-配送'!$B$84:$I$88,2,0)*1000</f>
        <v>0</v>
      </c>
      <c r="N3089" s="127">
        <f t="shared" si="126"/>
        <v>0</v>
      </c>
    </row>
    <row r="3090" spans="1:14" x14ac:dyDescent="0.25">
      <c r="A3090" s="121" t="s">
        <v>111</v>
      </c>
      <c r="B3090" s="121" t="s">
        <v>544</v>
      </c>
      <c r="C3090" s="62">
        <f>VLOOKUP(B3090,合并仓明细!$D$2:$F$74,3,0)</f>
        <v>69</v>
      </c>
      <c r="D3090" s="122" t="s">
        <v>393</v>
      </c>
      <c r="E3090" s="123">
        <v>46016</v>
      </c>
      <c r="F3090" s="121" t="s">
        <v>68</v>
      </c>
      <c r="G3090" s="121">
        <v>319.28699999999998</v>
      </c>
      <c r="H3090" s="124">
        <v>7.0332708800000008</v>
      </c>
      <c r="I3090" s="46">
        <f>ROUNDUP(H3090/30,0)*VLOOKUP(D3090,'报价表-配送'!$B$84:$I$88,8,0)</f>
        <v>0</v>
      </c>
      <c r="J3090" s="125"/>
      <c r="K3090" s="125"/>
      <c r="L3090" s="121"/>
      <c r="M3090" s="126"/>
      <c r="N3090" s="127">
        <f t="shared" si="126"/>
        <v>0</v>
      </c>
    </row>
    <row r="3091" spans="1:14" x14ac:dyDescent="0.25">
      <c r="A3091" s="121" t="s">
        <v>111</v>
      </c>
      <c r="B3091" s="121" t="s">
        <v>544</v>
      </c>
      <c r="C3091" s="62">
        <f>VLOOKUP(B3091,合并仓明细!$D$2:$F$74,3,0)</f>
        <v>69</v>
      </c>
      <c r="D3091" s="122" t="s">
        <v>393</v>
      </c>
      <c r="E3091" s="123">
        <v>46016</v>
      </c>
      <c r="F3091" s="121" t="s">
        <v>67</v>
      </c>
      <c r="G3091" s="121">
        <v>6681.1338800000003</v>
      </c>
      <c r="H3091" s="124"/>
      <c r="I3091" s="125"/>
      <c r="J3091" s="125"/>
      <c r="K3091" s="125"/>
      <c r="L3091" s="121"/>
      <c r="M3091" s="126"/>
      <c r="N3091" s="121"/>
    </row>
    <row r="3092" spans="1:14" x14ac:dyDescent="0.25">
      <c r="A3092" s="121" t="s">
        <v>111</v>
      </c>
      <c r="B3092" s="121" t="s">
        <v>544</v>
      </c>
      <c r="C3092" s="62">
        <f>VLOOKUP(B3092,合并仓明细!$D$2:$F$74,3,0)</f>
        <v>69</v>
      </c>
      <c r="D3092" s="122" t="s">
        <v>393</v>
      </c>
      <c r="E3092" s="123">
        <v>46016</v>
      </c>
      <c r="F3092" s="121" t="s">
        <v>66</v>
      </c>
      <c r="G3092" s="121">
        <v>32.85</v>
      </c>
      <c r="H3092" s="124"/>
      <c r="I3092" s="125"/>
      <c r="J3092" s="125"/>
      <c r="K3092" s="125"/>
      <c r="L3092" s="121"/>
      <c r="M3092" s="126"/>
      <c r="N3092" s="121"/>
    </row>
    <row r="3093" spans="1:14" x14ac:dyDescent="0.25">
      <c r="A3093" s="121" t="s">
        <v>111</v>
      </c>
      <c r="B3093" s="121" t="s">
        <v>544</v>
      </c>
      <c r="C3093" s="62">
        <f>VLOOKUP(B3093,合并仓明细!$D$2:$F$74,3,0)</f>
        <v>69</v>
      </c>
      <c r="D3093" s="122" t="s">
        <v>393</v>
      </c>
      <c r="E3093" s="123">
        <v>46029</v>
      </c>
      <c r="F3093" s="121" t="s">
        <v>68</v>
      </c>
      <c r="G3093" s="121">
        <v>2951.8920000000003</v>
      </c>
      <c r="H3093" s="124">
        <v>2.9518920000000004</v>
      </c>
      <c r="I3093" s="46">
        <f>ROUNDUP(H3093/30,0)*VLOOKUP(D3093,'报价表-配送'!$B$84:$I$88,8,0)</f>
        <v>0</v>
      </c>
      <c r="J3093" s="125"/>
      <c r="K3093" s="125"/>
      <c r="L3093" s="121"/>
      <c r="M3093" s="126"/>
      <c r="N3093" s="127">
        <f t="shared" ref="N3093:N3096" si="127">SUM(I3093:L3093)</f>
        <v>0</v>
      </c>
    </row>
    <row r="3094" spans="1:14" x14ac:dyDescent="0.25">
      <c r="A3094" s="121" t="s">
        <v>111</v>
      </c>
      <c r="B3094" s="121" t="s">
        <v>545</v>
      </c>
      <c r="C3094" s="62">
        <f>VLOOKUP(B3094,合并仓明细!$D$2:$F$74,3,0)</f>
        <v>69</v>
      </c>
      <c r="D3094" s="122" t="s">
        <v>393</v>
      </c>
      <c r="E3094" s="123">
        <v>46056</v>
      </c>
      <c r="F3094" s="121" t="s">
        <v>66</v>
      </c>
      <c r="G3094" s="121">
        <v>929.51083148999999</v>
      </c>
      <c r="H3094" s="124">
        <v>0.92951083149000002</v>
      </c>
      <c r="I3094" s="125"/>
      <c r="J3094" s="125"/>
      <c r="K3094" s="125"/>
      <c r="L3094" s="37">
        <f>IF(H3094&gt;30,QUOTIENT(H3094,30)*VLOOKUP(D3094,'报价表-配送'!$B$84:$I$88,8,0),0)+IF(AND(MOD(H3094,30)&gt;18,MOD(H3094,30)&lt;=30),1,0)*VLOOKUP(D3094,'报价表-配送'!$B$84:$I$88,8,0)+IF(AND(MOD(H3094,30)&gt;8,MOD(H3094,30)&lt;=18),1*VLOOKUP(D3094,'报价表-配送'!$B$84:$I$88,7,0),0)+IF(AND(MOD(H3094,30)&lt;=8,MOD(H3094,30)&gt;2.5),1,0)*VLOOKUP(D3094,'报价表-配送'!$B$84:$I$88,6,0)+IF(AND(MOD(H3094,30)&lt;=2.5,MOD(H3094,30)&gt;=1.5),1,0)*VLOOKUP(D3094,'报价表-配送'!$B$84:$I$88,5,0)</f>
        <v>0</v>
      </c>
      <c r="M3094" s="39">
        <f>IF(AND(MOD(H3094,30)&lt;1.5,MOD(H3094,30)&gt;=0.5),H3094,0)*VLOOKUP(D3094,'报价表-配送'!$B$84:$I$88,4,0)*1000+IF(AND(MOD(H3094,30)&lt;0.5,MOD(H3094,30)&gt;=0.02),H3094,0)*VLOOKUP(D3094,'报价表-配送'!$B$84:$I$88,3,0)*1000+IF(AND(MOD(H3094,30)&lt;0.02),H3094,0)*VLOOKUP(D3094,'报价表-配送'!$B$84:$I$88,2,0)*1000</f>
        <v>0</v>
      </c>
      <c r="N3094" s="127">
        <f t="shared" si="127"/>
        <v>0</v>
      </c>
    </row>
    <row r="3095" spans="1:14" x14ac:dyDescent="0.25">
      <c r="A3095" s="121" t="s">
        <v>111</v>
      </c>
      <c r="B3095" s="121" t="s">
        <v>544</v>
      </c>
      <c r="C3095" s="62">
        <f>VLOOKUP(B3095,合并仓明细!$D$2:$F$74,3,0)</f>
        <v>69</v>
      </c>
      <c r="D3095" s="122" t="s">
        <v>393</v>
      </c>
      <c r="E3095" s="123">
        <v>46091</v>
      </c>
      <c r="F3095" s="121" t="s">
        <v>66</v>
      </c>
      <c r="G3095" s="121">
        <v>51.274999999999999</v>
      </c>
      <c r="H3095" s="124">
        <v>5.1275000000000001E-2</v>
      </c>
      <c r="I3095" s="125"/>
      <c r="J3095" s="125"/>
      <c r="K3095" s="125"/>
      <c r="L3095" s="37">
        <f>IF(H3095&gt;30,QUOTIENT(H3095,30)*VLOOKUP(D3095,'报价表-配送'!$B$84:$I$88,8,0),0)+IF(AND(MOD(H3095,30)&gt;18,MOD(H3095,30)&lt;=30),1,0)*VLOOKUP(D3095,'报价表-配送'!$B$84:$I$88,8,0)+IF(AND(MOD(H3095,30)&gt;8,MOD(H3095,30)&lt;=18),1*VLOOKUP(D3095,'报价表-配送'!$B$84:$I$88,7,0),0)+IF(AND(MOD(H3095,30)&lt;=8,MOD(H3095,30)&gt;2.5),1,0)*VLOOKUP(D3095,'报价表-配送'!$B$84:$I$88,6,0)+IF(AND(MOD(H3095,30)&lt;=2.5,MOD(H3095,30)&gt;=1.5),1,0)*VLOOKUP(D3095,'报价表-配送'!$B$84:$I$88,5,0)</f>
        <v>0</v>
      </c>
      <c r="M3095" s="39">
        <f>IF(AND(MOD(H3095,30)&lt;1.5,MOD(H3095,30)&gt;=0.5),H3095,0)*VLOOKUP(D3095,'报价表-配送'!$B$84:$I$88,4,0)*1000+IF(AND(MOD(H3095,30)&lt;0.5,MOD(H3095,30)&gt;=0.02),H3095,0)*VLOOKUP(D3095,'报价表-配送'!$B$84:$I$88,3,0)*1000+IF(AND(MOD(H3095,30)&lt;0.02),H3095,0)*VLOOKUP(D3095,'报价表-配送'!$B$84:$I$88,2,0)*1000</f>
        <v>0</v>
      </c>
      <c r="N3095" s="127">
        <f t="shared" si="127"/>
        <v>0</v>
      </c>
    </row>
    <row r="3096" spans="1:14" x14ac:dyDescent="0.25">
      <c r="A3096" s="121" t="s">
        <v>111</v>
      </c>
      <c r="B3096" s="121" t="s">
        <v>544</v>
      </c>
      <c r="C3096" s="62">
        <f>VLOOKUP(B3096,合并仓明细!$D$2:$F$74,3,0)</f>
        <v>69</v>
      </c>
      <c r="D3096" s="122" t="s">
        <v>393</v>
      </c>
      <c r="E3096" s="123">
        <v>46097</v>
      </c>
      <c r="F3096" s="121" t="s">
        <v>67</v>
      </c>
      <c r="G3096" s="121">
        <v>683.00040000000001</v>
      </c>
      <c r="H3096" s="124">
        <v>0.74504890000000001</v>
      </c>
      <c r="I3096" s="38">
        <f>IF(H3096&gt;30,QUOTIENT(H3096,30)*VLOOKUP(D3096,'报价表-配送'!$B$84:$I$88,8,0),0)+IF(AND(MOD(H3096,30)&gt;18,MOD(H3096,30)&lt;=30),1,0)*VLOOKUP(D3096,'报价表-配送'!$B$84:$I$88,8,0)</f>
        <v>0</v>
      </c>
      <c r="J3096" s="38">
        <f>IF(AND(MOD(H3096,30)&gt;8,MOD(H3096,30)&lt;=18),1*VLOOKUP(D3096,'报价表-配送'!$B$84:$I$88,7,0),0)</f>
        <v>0</v>
      </c>
      <c r="K3096" s="38">
        <f>IF(AND(MOD(H3096,30)&lt;=8,MOD(H3096,30)&gt;0),1,0)*VLOOKUP(D3096,'报价表-配送'!$B$84:$I$88,6,0)</f>
        <v>0</v>
      </c>
      <c r="L3096" s="121"/>
      <c r="M3096" s="126"/>
      <c r="N3096" s="127">
        <f t="shared" si="127"/>
        <v>0</v>
      </c>
    </row>
    <row r="3097" spans="1:14" x14ac:dyDescent="0.25">
      <c r="A3097" s="121" t="s">
        <v>111</v>
      </c>
      <c r="B3097" s="121" t="s">
        <v>544</v>
      </c>
      <c r="C3097" s="62">
        <f>VLOOKUP(B3097,合并仓明细!$D$2:$F$74,3,0)</f>
        <v>69</v>
      </c>
      <c r="D3097" s="122" t="s">
        <v>393</v>
      </c>
      <c r="E3097" s="123">
        <v>46097</v>
      </c>
      <c r="F3097" s="121" t="s">
        <v>66</v>
      </c>
      <c r="G3097" s="121">
        <v>62.048500000000004</v>
      </c>
      <c r="H3097" s="124"/>
      <c r="I3097" s="125"/>
      <c r="J3097" s="125"/>
      <c r="K3097" s="125"/>
      <c r="L3097" s="121"/>
      <c r="M3097" s="126"/>
      <c r="N3097" s="121"/>
    </row>
    <row r="3098" spans="1:14" x14ac:dyDescent="0.25">
      <c r="A3098" s="121" t="s">
        <v>111</v>
      </c>
      <c r="B3098" s="121" t="s">
        <v>544</v>
      </c>
      <c r="C3098" s="62">
        <f>VLOOKUP(B3098,合并仓明细!$D$2:$F$74,3,0)</f>
        <v>69</v>
      </c>
      <c r="D3098" s="122" t="s">
        <v>393</v>
      </c>
      <c r="E3098" s="123">
        <v>46104</v>
      </c>
      <c r="F3098" s="121" t="s">
        <v>67</v>
      </c>
      <c r="G3098" s="121">
        <v>13.9640766</v>
      </c>
      <c r="H3098" s="124">
        <v>4.75590766E-2</v>
      </c>
      <c r="I3098" s="38">
        <f>IF(H3098&gt;30,QUOTIENT(H3098,30)*VLOOKUP(D3098,'报价表-配送'!$B$84:$I$88,8,0),0)+IF(AND(MOD(H3098,30)&gt;18,MOD(H3098,30)&lt;=30),1,0)*VLOOKUP(D3098,'报价表-配送'!$B$84:$I$88,8,0)</f>
        <v>0</v>
      </c>
      <c r="J3098" s="38">
        <f>IF(AND(MOD(H3098,30)&gt;8,MOD(H3098,30)&lt;=18),1*VLOOKUP(D3098,'报价表-配送'!$B$84:$I$88,7,0),0)</f>
        <v>0</v>
      </c>
      <c r="K3098" s="38">
        <f>IF(AND(MOD(H3098,30)&lt;=8,MOD(H3098,30)&gt;0),1,0)*VLOOKUP(D3098,'报价表-配送'!$B$84:$I$88,6,0)</f>
        <v>0</v>
      </c>
      <c r="L3098" s="121"/>
      <c r="M3098" s="126"/>
      <c r="N3098" s="127">
        <f t="shared" ref="N3098" si="128">SUM(I3098:L3098)</f>
        <v>0</v>
      </c>
    </row>
    <row r="3099" spans="1:14" x14ac:dyDescent="0.25">
      <c r="A3099" s="121" t="s">
        <v>111</v>
      </c>
      <c r="B3099" s="121" t="s">
        <v>544</v>
      </c>
      <c r="C3099" s="62">
        <f>VLOOKUP(B3099,合并仓明细!$D$2:$F$74,3,0)</f>
        <v>69</v>
      </c>
      <c r="D3099" s="122" t="s">
        <v>393</v>
      </c>
      <c r="E3099" s="123">
        <v>46104</v>
      </c>
      <c r="F3099" s="121" t="s">
        <v>66</v>
      </c>
      <c r="G3099" s="121">
        <v>33.594999999999999</v>
      </c>
      <c r="H3099" s="124"/>
      <c r="I3099" s="125"/>
      <c r="J3099" s="125"/>
      <c r="K3099" s="125"/>
      <c r="L3099" s="121"/>
      <c r="M3099" s="126"/>
      <c r="N3099" s="121"/>
    </row>
    <row r="3100" spans="1:14" x14ac:dyDescent="0.25">
      <c r="A3100" s="121" t="s">
        <v>82</v>
      </c>
      <c r="B3100" s="121" t="s">
        <v>141</v>
      </c>
      <c r="C3100" s="62">
        <f>VLOOKUP(B3100,合并仓明细!$D$2:$F$74,3,0)</f>
        <v>200</v>
      </c>
      <c r="D3100" s="122" t="s">
        <v>413</v>
      </c>
      <c r="E3100" s="123">
        <v>45968</v>
      </c>
      <c r="F3100" s="121" t="s">
        <v>66</v>
      </c>
      <c r="G3100" s="121">
        <v>1807.8898486100002</v>
      </c>
      <c r="H3100" s="124">
        <v>1.8078898486100001</v>
      </c>
      <c r="I3100" s="125"/>
      <c r="J3100" s="125"/>
      <c r="K3100" s="125"/>
      <c r="L3100" s="37">
        <f>IF(H3100&gt;30,QUOTIENT(H3100,30)*VLOOKUP(D3100,'报价表-配送'!$B$16:$I$21,8,0),0)+IF(AND(MOD(H3100,30)&gt;18,MOD(H3100,30)&lt;=30),1,0)*VLOOKUP(D3100,'报价表-配送'!$B$16:$I$21,8,0)+IF(AND(MOD(H3100,30)&gt;8,MOD(H3100,30)&lt;=18),1*VLOOKUP(D3100,'报价表-配送'!$B$16:$I$21,7,0),0)+IF(AND(MOD(H3100,30)&lt;=8,MOD(H3100,30)&gt;2.5),1,0)*VLOOKUP(D3100,'报价表-配送'!$B$16:$I$21,6,0)+IF(AND(MOD(H3100,30)&lt;=2.5,MOD(H3100,30)&gt;=1.5),1,0)*VLOOKUP(D3100,'报价表-配送'!$B$16:$I$21,5,0)</f>
        <v>0</v>
      </c>
      <c r="M3100" s="39">
        <f>IF(AND(MOD(H3100,30)&lt;1.5,MOD(H3100,30)&gt;=0.5),H3100,0)*VLOOKUP(D3100,'报价表-配送'!$B$16:$I$21,4,0)*1000+IF(AND(MOD(H3100,30)&lt;0.5,MOD(H3100,30)&gt;=0.02),H3100,0)*VLOOKUP(D3100,'报价表-配送'!$B$16:$I$21,3,0)*1000+IF(AND(MOD(H3100,30)&lt;0.02),H3100,0)*VLOOKUP(D3100,'报价表-配送'!$B$16:$I$21,2,0)*1000</f>
        <v>0</v>
      </c>
      <c r="N3100" s="127">
        <f t="shared" ref="N3100:N3111" si="129">SUM(I3100:L3100)</f>
        <v>0</v>
      </c>
    </row>
    <row r="3101" spans="1:14" x14ac:dyDescent="0.25">
      <c r="A3101" s="121" t="s">
        <v>82</v>
      </c>
      <c r="B3101" s="121" t="s">
        <v>141</v>
      </c>
      <c r="C3101" s="62">
        <f>VLOOKUP(B3101,合并仓明细!$D$2:$F$74,3,0)</f>
        <v>200</v>
      </c>
      <c r="D3101" s="122" t="s">
        <v>413</v>
      </c>
      <c r="E3101" s="123">
        <v>45981</v>
      </c>
      <c r="F3101" s="121" t="s">
        <v>66</v>
      </c>
      <c r="G3101" s="121">
        <v>15</v>
      </c>
      <c r="H3101" s="124">
        <v>1.4999999999999999E-2</v>
      </c>
      <c r="I3101" s="125"/>
      <c r="J3101" s="125"/>
      <c r="K3101" s="125"/>
      <c r="L3101" s="37">
        <f>IF(H3101&gt;30,QUOTIENT(H3101,30)*VLOOKUP(D3101,'报价表-配送'!$B$16:$I$21,8,0),0)+IF(AND(MOD(H3101,30)&gt;18,MOD(H3101,30)&lt;=30),1,0)*VLOOKUP(D3101,'报价表-配送'!$B$16:$I$21,8,0)+IF(AND(MOD(H3101,30)&gt;8,MOD(H3101,30)&lt;=18),1*VLOOKUP(D3101,'报价表-配送'!$B$16:$I$21,7,0),0)+IF(AND(MOD(H3101,30)&lt;=8,MOD(H3101,30)&gt;2.5),1,0)*VLOOKUP(D3101,'报价表-配送'!$B$16:$I$21,6,0)+IF(AND(MOD(H3101,30)&lt;=2.5,MOD(H3101,30)&gt;=1.5),1,0)*VLOOKUP(D3101,'报价表-配送'!$B$16:$I$21,5,0)</f>
        <v>0</v>
      </c>
      <c r="M3101" s="39">
        <f>IF(AND(MOD(H3101,30)&lt;1.5,MOD(H3101,30)&gt;=0.5),H3101,0)*VLOOKUP(D3101,'报价表-配送'!$B$16:$I$21,4,0)*1000+IF(AND(MOD(H3101,30)&lt;0.5,MOD(H3101,30)&gt;=0.02),H3101,0)*VLOOKUP(D3101,'报价表-配送'!$B$16:$I$21,3,0)*1000+IF(AND(MOD(H3101,30)&lt;0.02),H3101,0)*VLOOKUP(D3101,'报价表-配送'!$B$16:$I$21,2,0)*1000</f>
        <v>0</v>
      </c>
      <c r="N3101" s="127">
        <f t="shared" si="129"/>
        <v>0</v>
      </c>
    </row>
    <row r="3102" spans="1:14" x14ac:dyDescent="0.25">
      <c r="A3102" s="121" t="s">
        <v>82</v>
      </c>
      <c r="B3102" s="121" t="s">
        <v>141</v>
      </c>
      <c r="C3102" s="62">
        <f>VLOOKUP(B3102,合并仓明细!$D$2:$F$74,3,0)</f>
        <v>200</v>
      </c>
      <c r="D3102" s="122" t="s">
        <v>413</v>
      </c>
      <c r="E3102" s="123">
        <v>46050</v>
      </c>
      <c r="F3102" s="121" t="s">
        <v>66</v>
      </c>
      <c r="G3102" s="121">
        <v>75.3</v>
      </c>
      <c r="H3102" s="124">
        <v>7.5299999999999992E-2</v>
      </c>
      <c r="I3102" s="125"/>
      <c r="J3102" s="125"/>
      <c r="K3102" s="125"/>
      <c r="L3102" s="37">
        <f>IF(H3102&gt;30,QUOTIENT(H3102,30)*VLOOKUP(D3102,'报价表-配送'!$B$16:$I$21,8,0),0)+IF(AND(MOD(H3102,30)&gt;18,MOD(H3102,30)&lt;=30),1,0)*VLOOKUP(D3102,'报价表-配送'!$B$16:$I$21,8,0)+IF(AND(MOD(H3102,30)&gt;8,MOD(H3102,30)&lt;=18),1*VLOOKUP(D3102,'报价表-配送'!$B$16:$I$21,7,0),0)+IF(AND(MOD(H3102,30)&lt;=8,MOD(H3102,30)&gt;2.5),1,0)*VLOOKUP(D3102,'报价表-配送'!$B$16:$I$21,6,0)+IF(AND(MOD(H3102,30)&lt;=2.5,MOD(H3102,30)&gt;=1.5),1,0)*VLOOKUP(D3102,'报价表-配送'!$B$16:$I$21,5,0)</f>
        <v>0</v>
      </c>
      <c r="M3102" s="39">
        <f>IF(AND(MOD(H3102,30)&lt;1.5,MOD(H3102,30)&gt;=0.5),H3102,0)*VLOOKUP(D3102,'报价表-配送'!$B$16:$I$21,4,0)*1000+IF(AND(MOD(H3102,30)&lt;0.5,MOD(H3102,30)&gt;=0.02),H3102,0)*VLOOKUP(D3102,'报价表-配送'!$B$16:$I$21,3,0)*1000+IF(AND(MOD(H3102,30)&lt;0.02),H3102,0)*VLOOKUP(D3102,'报价表-配送'!$B$16:$I$21,2,0)*1000</f>
        <v>0</v>
      </c>
      <c r="N3102" s="127">
        <f t="shared" si="129"/>
        <v>0</v>
      </c>
    </row>
    <row r="3103" spans="1:14" x14ac:dyDescent="0.25">
      <c r="A3103" s="121" t="s">
        <v>82</v>
      </c>
      <c r="B3103" s="121" t="s">
        <v>142</v>
      </c>
      <c r="C3103" s="62">
        <f>VLOOKUP(B3103,合并仓明细!$D$2:$F$74,3,0)</f>
        <v>73</v>
      </c>
      <c r="D3103" s="122" t="s">
        <v>393</v>
      </c>
      <c r="E3103" s="123">
        <v>46030</v>
      </c>
      <c r="F3103" s="121" t="s">
        <v>66</v>
      </c>
      <c r="G3103" s="121">
        <v>10.692500000000001</v>
      </c>
      <c r="H3103" s="124">
        <v>1.0692500000000001E-2</v>
      </c>
      <c r="I3103" s="125"/>
      <c r="J3103" s="125"/>
      <c r="K3103" s="125"/>
      <c r="L3103" s="37">
        <f>IF(H3103&gt;30,QUOTIENT(H3103,30)*VLOOKUP(D3103,'报价表-配送'!$B$16:$I$21,8,0),0)+IF(AND(MOD(H3103,30)&gt;18,MOD(H3103,30)&lt;=30),1,0)*VLOOKUP(D3103,'报价表-配送'!$B$16:$I$21,8,0)+IF(AND(MOD(H3103,30)&gt;8,MOD(H3103,30)&lt;=18),1*VLOOKUP(D3103,'报价表-配送'!$B$16:$I$21,7,0),0)+IF(AND(MOD(H3103,30)&lt;=8,MOD(H3103,30)&gt;2.5),1,0)*VLOOKUP(D3103,'报价表-配送'!$B$16:$I$21,6,0)+IF(AND(MOD(H3103,30)&lt;=2.5,MOD(H3103,30)&gt;=1.5),1,0)*VLOOKUP(D3103,'报价表-配送'!$B$16:$I$21,5,0)</f>
        <v>0</v>
      </c>
      <c r="M3103" s="39">
        <f>IF(AND(MOD(H3103,30)&lt;1.5,MOD(H3103,30)&gt;=0.5),H3103,0)*VLOOKUP(D3103,'报价表-配送'!$B$16:$I$21,4,0)*1000+IF(AND(MOD(H3103,30)&lt;0.5,MOD(H3103,30)&gt;=0.02),H3103,0)*VLOOKUP(D3103,'报价表-配送'!$B$16:$I$21,3,0)*1000+IF(AND(MOD(H3103,30)&lt;0.02),H3103,0)*VLOOKUP(D3103,'报价表-配送'!$B$16:$I$21,2,0)*1000</f>
        <v>0</v>
      </c>
      <c r="N3103" s="127">
        <f t="shared" si="129"/>
        <v>0</v>
      </c>
    </row>
    <row r="3104" spans="1:14" x14ac:dyDescent="0.25">
      <c r="A3104" s="121" t="s">
        <v>82</v>
      </c>
      <c r="B3104" s="121" t="s">
        <v>234</v>
      </c>
      <c r="C3104" s="62">
        <f>VLOOKUP(B3104,合并仓明细!$D$2:$F$74,3,0)</f>
        <v>201</v>
      </c>
      <c r="D3104" s="122" t="s">
        <v>414</v>
      </c>
      <c r="E3104" s="123">
        <v>45939</v>
      </c>
      <c r="F3104" s="121" t="s">
        <v>66</v>
      </c>
      <c r="G3104" s="121">
        <v>56</v>
      </c>
      <c r="H3104" s="124">
        <v>5.6000000000000001E-2</v>
      </c>
      <c r="I3104" s="125"/>
      <c r="J3104" s="125"/>
      <c r="K3104" s="125"/>
      <c r="L3104" s="37">
        <f>IF(H3104&gt;30,QUOTIENT(H3104,30)*VLOOKUP(D3104,'报价表-配送'!$B$16:$I$21,8,0),0)+IF(AND(MOD(H3104,30)&gt;18,MOD(H3104,30)&lt;=30),1,0)*VLOOKUP(D3104,'报价表-配送'!$B$16:$I$21,8,0)+IF(AND(MOD(H3104,30)&gt;8,MOD(H3104,30)&lt;=18),1*VLOOKUP(D3104,'报价表-配送'!$B$16:$I$21,7,0),0)+IF(AND(MOD(H3104,30)&lt;=8,MOD(H3104,30)&gt;2.5),1,0)*VLOOKUP(D3104,'报价表-配送'!$B$16:$I$21,6,0)+IF(AND(MOD(H3104,30)&lt;=2.5,MOD(H3104,30)&gt;=1.5),1,0)*VLOOKUP(D3104,'报价表-配送'!$B$16:$I$21,5,0)</f>
        <v>0</v>
      </c>
      <c r="M3104" s="39">
        <f>IF(AND(MOD(H3104,30)&lt;1.5,MOD(H3104,30)&gt;=0.5),H3104,0)*VLOOKUP(D3104,'报价表-配送'!$B$16:$I$21,4,0)*1000+IF(AND(MOD(H3104,30)&lt;0.5,MOD(H3104,30)&gt;=0.02),H3104,0)*VLOOKUP(D3104,'报价表-配送'!$B$16:$I$21,3,0)*1000+IF(AND(MOD(H3104,30)&lt;0.02),H3104,0)*VLOOKUP(D3104,'报价表-配送'!$B$16:$I$21,2,0)*1000</f>
        <v>0</v>
      </c>
      <c r="N3104" s="127">
        <f t="shared" si="129"/>
        <v>0</v>
      </c>
    </row>
    <row r="3105" spans="1:14" x14ac:dyDescent="0.25">
      <c r="A3105" s="121" t="s">
        <v>82</v>
      </c>
      <c r="B3105" s="121" t="s">
        <v>144</v>
      </c>
      <c r="C3105" s="62">
        <f>VLOOKUP(B3105,合并仓明细!$D$2:$F$74,3,0)</f>
        <v>487</v>
      </c>
      <c r="D3105" s="122" t="s">
        <v>25</v>
      </c>
      <c r="E3105" s="123">
        <v>45954</v>
      </c>
      <c r="F3105" s="121" t="s">
        <v>66</v>
      </c>
      <c r="G3105" s="121">
        <v>31.119999999999997</v>
      </c>
      <c r="H3105" s="124">
        <v>3.1119999999999998E-2</v>
      </c>
      <c r="I3105" s="125"/>
      <c r="J3105" s="125"/>
      <c r="K3105" s="125"/>
      <c r="L3105" s="37">
        <f>IF(H3105&gt;30,QUOTIENT(H3105,30)*VLOOKUP(D3105,'报价表-配送'!$B$16:$I$21,8,0),0)+IF(AND(MOD(H3105,30)&gt;18,MOD(H3105,30)&lt;=30),1,0)*VLOOKUP(D3105,'报价表-配送'!$B$16:$I$21,8,0)+IF(AND(MOD(H3105,30)&gt;8,MOD(H3105,30)&lt;=18),1*VLOOKUP(D3105,'报价表-配送'!$B$16:$I$21,7,0),0)+IF(AND(MOD(H3105,30)&lt;=8,MOD(H3105,30)&gt;2.5),1,0)*VLOOKUP(D3105,'报价表-配送'!$B$16:$I$21,6,0)+IF(AND(MOD(H3105,30)&lt;=2.5,MOD(H3105,30)&gt;=1.5),1,0)*VLOOKUP(D3105,'报价表-配送'!$B$16:$I$21,5,0)</f>
        <v>0</v>
      </c>
      <c r="M3105" s="39">
        <f>IF(AND(MOD(H3105,30)&lt;1.5,MOD(H3105,30)&gt;=0.5),H3105,0)*VLOOKUP(D3105,'报价表-配送'!$B$16:$I$21,4,0)*1000+IF(AND(MOD(H3105,30)&lt;0.5,MOD(H3105,30)&gt;=0.02),H3105,0)*VLOOKUP(D3105,'报价表-配送'!$B$16:$I$21,3,0)*1000+IF(AND(MOD(H3105,30)&lt;0.02),H3105,0)*VLOOKUP(D3105,'报价表-配送'!$B$16:$I$21,2,0)*1000</f>
        <v>0</v>
      </c>
      <c r="N3105" s="127">
        <f t="shared" si="129"/>
        <v>0</v>
      </c>
    </row>
    <row r="3106" spans="1:14" x14ac:dyDescent="0.25">
      <c r="A3106" s="121" t="s">
        <v>82</v>
      </c>
      <c r="B3106" s="121" t="s">
        <v>145</v>
      </c>
      <c r="C3106" s="62">
        <f>VLOOKUP(B3106,合并仓明细!$D$2:$F$74,3,0)</f>
        <v>184</v>
      </c>
      <c r="D3106" s="122" t="s">
        <v>413</v>
      </c>
      <c r="E3106" s="123">
        <v>45980</v>
      </c>
      <c r="F3106" s="121" t="s">
        <v>66</v>
      </c>
      <c r="G3106" s="121">
        <v>88.36</v>
      </c>
      <c r="H3106" s="124">
        <v>8.8359999999999994E-2</v>
      </c>
      <c r="I3106" s="125"/>
      <c r="J3106" s="125"/>
      <c r="K3106" s="125"/>
      <c r="L3106" s="37">
        <f>IF(H3106&gt;30,QUOTIENT(H3106,30)*VLOOKUP(D3106,'报价表-配送'!$B$16:$I$21,8,0),0)+IF(AND(MOD(H3106,30)&gt;18,MOD(H3106,30)&lt;=30),1,0)*VLOOKUP(D3106,'报价表-配送'!$B$16:$I$21,8,0)+IF(AND(MOD(H3106,30)&gt;8,MOD(H3106,30)&lt;=18),1*VLOOKUP(D3106,'报价表-配送'!$B$16:$I$21,7,0),0)+IF(AND(MOD(H3106,30)&lt;=8,MOD(H3106,30)&gt;2.5),1,0)*VLOOKUP(D3106,'报价表-配送'!$B$16:$I$21,6,0)+IF(AND(MOD(H3106,30)&lt;=2.5,MOD(H3106,30)&gt;=1.5),1,0)*VLOOKUP(D3106,'报价表-配送'!$B$16:$I$21,5,0)</f>
        <v>0</v>
      </c>
      <c r="M3106" s="39">
        <f>IF(AND(MOD(H3106,30)&lt;1.5,MOD(H3106,30)&gt;=0.5),H3106,0)*VLOOKUP(D3106,'报价表-配送'!$B$16:$I$21,4,0)*1000+IF(AND(MOD(H3106,30)&lt;0.5,MOD(H3106,30)&gt;=0.02),H3106,0)*VLOOKUP(D3106,'报价表-配送'!$B$16:$I$21,3,0)*1000+IF(AND(MOD(H3106,30)&lt;0.02),H3106,0)*VLOOKUP(D3106,'报价表-配送'!$B$16:$I$21,2,0)*1000</f>
        <v>0</v>
      </c>
      <c r="N3106" s="127">
        <f t="shared" si="129"/>
        <v>0</v>
      </c>
    </row>
    <row r="3107" spans="1:14" x14ac:dyDescent="0.25">
      <c r="A3107" s="121" t="s">
        <v>82</v>
      </c>
      <c r="B3107" s="121" t="s">
        <v>147</v>
      </c>
      <c r="C3107" s="62">
        <f>VLOOKUP(B3107,合并仓明细!$D$2:$F$74,3,0)</f>
        <v>272</v>
      </c>
      <c r="D3107" s="122" t="s">
        <v>414</v>
      </c>
      <c r="E3107" s="123">
        <v>45960</v>
      </c>
      <c r="F3107" s="121" t="s">
        <v>66</v>
      </c>
      <c r="G3107" s="121">
        <v>96</v>
      </c>
      <c r="H3107" s="124">
        <v>9.6000000000000002E-2</v>
      </c>
      <c r="I3107" s="125"/>
      <c r="J3107" s="125"/>
      <c r="K3107" s="125"/>
      <c r="L3107" s="37">
        <f>IF(H3107&gt;30,QUOTIENT(H3107,30)*VLOOKUP(D3107,'报价表-配送'!$B$16:$I$21,8,0),0)+IF(AND(MOD(H3107,30)&gt;18,MOD(H3107,30)&lt;=30),1,0)*VLOOKUP(D3107,'报价表-配送'!$B$16:$I$21,8,0)+IF(AND(MOD(H3107,30)&gt;8,MOD(H3107,30)&lt;=18),1*VLOOKUP(D3107,'报价表-配送'!$B$16:$I$21,7,0),0)+IF(AND(MOD(H3107,30)&lt;=8,MOD(H3107,30)&gt;2.5),1,0)*VLOOKUP(D3107,'报价表-配送'!$B$16:$I$21,6,0)+IF(AND(MOD(H3107,30)&lt;=2.5,MOD(H3107,30)&gt;=1.5),1,0)*VLOOKUP(D3107,'报价表-配送'!$B$16:$I$21,5,0)</f>
        <v>0</v>
      </c>
      <c r="M3107" s="39">
        <f>IF(AND(MOD(H3107,30)&lt;1.5,MOD(H3107,30)&gt;=0.5),H3107,0)*VLOOKUP(D3107,'报价表-配送'!$B$16:$I$21,4,0)*1000+IF(AND(MOD(H3107,30)&lt;0.5,MOD(H3107,30)&gt;=0.02),H3107,0)*VLOOKUP(D3107,'报价表-配送'!$B$16:$I$21,3,0)*1000+IF(AND(MOD(H3107,30)&lt;0.02),H3107,0)*VLOOKUP(D3107,'报价表-配送'!$B$16:$I$21,2,0)*1000</f>
        <v>0</v>
      </c>
      <c r="N3107" s="127">
        <f t="shared" si="129"/>
        <v>0</v>
      </c>
    </row>
    <row r="3108" spans="1:14" x14ac:dyDescent="0.25">
      <c r="A3108" s="121" t="s">
        <v>82</v>
      </c>
      <c r="B3108" s="121" t="s">
        <v>148</v>
      </c>
      <c r="C3108" s="62">
        <f>VLOOKUP(B3108,合并仓明细!$D$2:$F$74,3,0)</f>
        <v>452</v>
      </c>
      <c r="D3108" s="122" t="s">
        <v>25</v>
      </c>
      <c r="E3108" s="123">
        <v>45952</v>
      </c>
      <c r="F3108" s="121" t="s">
        <v>66</v>
      </c>
      <c r="G3108" s="121">
        <v>5.3333333000000005</v>
      </c>
      <c r="H3108" s="124">
        <v>5.3333333000000005E-3</v>
      </c>
      <c r="I3108" s="125"/>
      <c r="J3108" s="125"/>
      <c r="K3108" s="125"/>
      <c r="L3108" s="37">
        <f>IF(H3108&gt;30,QUOTIENT(H3108,30)*VLOOKUP(D3108,'报价表-配送'!$B$16:$I$21,8,0),0)+IF(AND(MOD(H3108,30)&gt;18,MOD(H3108,30)&lt;=30),1,0)*VLOOKUP(D3108,'报价表-配送'!$B$16:$I$21,8,0)+IF(AND(MOD(H3108,30)&gt;8,MOD(H3108,30)&lt;=18),1*VLOOKUP(D3108,'报价表-配送'!$B$16:$I$21,7,0),0)+IF(AND(MOD(H3108,30)&lt;=8,MOD(H3108,30)&gt;2.5),1,0)*VLOOKUP(D3108,'报价表-配送'!$B$16:$I$21,6,0)+IF(AND(MOD(H3108,30)&lt;=2.5,MOD(H3108,30)&gt;=1.5),1,0)*VLOOKUP(D3108,'报价表-配送'!$B$16:$I$21,5,0)</f>
        <v>0</v>
      </c>
      <c r="M3108" s="39">
        <f>IF(AND(MOD(H3108,30)&lt;1.5,MOD(H3108,30)&gt;=0.5),H3108,0)*VLOOKUP(D3108,'报价表-配送'!$B$16:$I$21,4,0)*1000+IF(AND(MOD(H3108,30)&lt;0.5,MOD(H3108,30)&gt;=0.02),H3108,0)*VLOOKUP(D3108,'报价表-配送'!$B$16:$I$21,3,0)*1000+IF(AND(MOD(H3108,30)&lt;0.02),H3108,0)*VLOOKUP(D3108,'报价表-配送'!$B$16:$I$21,2,0)*1000</f>
        <v>0</v>
      </c>
      <c r="N3108" s="127">
        <f t="shared" si="129"/>
        <v>0</v>
      </c>
    </row>
    <row r="3109" spans="1:14" x14ac:dyDescent="0.25">
      <c r="A3109" s="121" t="s">
        <v>82</v>
      </c>
      <c r="B3109" s="121" t="s">
        <v>148</v>
      </c>
      <c r="C3109" s="62">
        <f>VLOOKUP(B3109,合并仓明细!$D$2:$F$74,3,0)</f>
        <v>452</v>
      </c>
      <c r="D3109" s="122" t="s">
        <v>25</v>
      </c>
      <c r="E3109" s="123">
        <v>46020</v>
      </c>
      <c r="F3109" s="121" t="s">
        <v>66</v>
      </c>
      <c r="G3109" s="121">
        <v>113.47000010000001</v>
      </c>
      <c r="H3109" s="124">
        <v>0.11347000010000001</v>
      </c>
      <c r="I3109" s="125"/>
      <c r="J3109" s="125"/>
      <c r="K3109" s="125"/>
      <c r="L3109" s="37">
        <f>IF(H3109&gt;30,QUOTIENT(H3109,30)*VLOOKUP(D3109,'报价表-配送'!$B$16:$I$21,8,0),0)+IF(AND(MOD(H3109,30)&gt;18,MOD(H3109,30)&lt;=30),1,0)*VLOOKUP(D3109,'报价表-配送'!$B$16:$I$21,8,0)+IF(AND(MOD(H3109,30)&gt;8,MOD(H3109,30)&lt;=18),1*VLOOKUP(D3109,'报价表-配送'!$B$16:$I$21,7,0),0)+IF(AND(MOD(H3109,30)&lt;=8,MOD(H3109,30)&gt;2.5),1,0)*VLOOKUP(D3109,'报价表-配送'!$B$16:$I$21,6,0)+IF(AND(MOD(H3109,30)&lt;=2.5,MOD(H3109,30)&gt;=1.5),1,0)*VLOOKUP(D3109,'报价表-配送'!$B$16:$I$21,5,0)</f>
        <v>0</v>
      </c>
      <c r="M3109" s="39">
        <f>IF(AND(MOD(H3109,30)&lt;1.5,MOD(H3109,30)&gt;=0.5),H3109,0)*VLOOKUP(D3109,'报价表-配送'!$B$16:$I$21,4,0)*1000+IF(AND(MOD(H3109,30)&lt;0.5,MOD(H3109,30)&gt;=0.02),H3109,0)*VLOOKUP(D3109,'报价表-配送'!$B$16:$I$21,3,0)*1000+IF(AND(MOD(H3109,30)&lt;0.02),H3109,0)*VLOOKUP(D3109,'报价表-配送'!$B$16:$I$21,2,0)*1000</f>
        <v>0</v>
      </c>
      <c r="N3109" s="127">
        <f t="shared" si="129"/>
        <v>0</v>
      </c>
    </row>
    <row r="3110" spans="1:14" x14ac:dyDescent="0.25">
      <c r="A3110" s="121" t="s">
        <v>82</v>
      </c>
      <c r="B3110" s="121" t="s">
        <v>148</v>
      </c>
      <c r="C3110" s="62">
        <f>VLOOKUP(B3110,合并仓明细!$D$2:$F$74,3,0)</f>
        <v>452</v>
      </c>
      <c r="D3110" s="122" t="s">
        <v>25</v>
      </c>
      <c r="E3110" s="123">
        <v>46042</v>
      </c>
      <c r="F3110" s="121" t="s">
        <v>67</v>
      </c>
      <c r="G3110" s="121">
        <v>3088.5299999999997</v>
      </c>
      <c r="H3110" s="124">
        <v>3.0885299999999996</v>
      </c>
      <c r="I3110" s="38">
        <f>IF(H3110&gt;30,QUOTIENT(H3110,30)*VLOOKUP(D3110,'报价表-配送'!$B$16:$I$21,8,0),0)+IF(AND(MOD(H3110,30)&gt;18,MOD(H3110,30)&lt;=30),1,0)*VLOOKUP(D3110,'报价表-配送'!$B$16:$I$21,8,0)</f>
        <v>0</v>
      </c>
      <c r="J3110" s="38">
        <f>IF(AND(MOD(H3110,30)&gt;8,MOD(H3110,30)&lt;=18),1*VLOOKUP(D3110,'报价表-配送'!$B$16:$I$21,7,0),0)</f>
        <v>0</v>
      </c>
      <c r="K3110" s="38">
        <f>IF(AND(MOD(H3110,30)&lt;=8,MOD(H3110,30)&gt;0),1,0)*VLOOKUP(D3110,'报价表-配送'!$B$16:$I$21,6,0)</f>
        <v>0</v>
      </c>
      <c r="L3110" s="121"/>
      <c r="M3110" s="126"/>
      <c r="N3110" s="127">
        <f t="shared" si="129"/>
        <v>0</v>
      </c>
    </row>
    <row r="3111" spans="1:14" x14ac:dyDescent="0.25">
      <c r="A3111" s="121" t="s">
        <v>82</v>
      </c>
      <c r="B3111" s="121" t="s">
        <v>148</v>
      </c>
      <c r="C3111" s="62">
        <f>VLOOKUP(B3111,合并仓明细!$D$2:$F$74,3,0)</f>
        <v>452</v>
      </c>
      <c r="D3111" s="122" t="s">
        <v>25</v>
      </c>
      <c r="E3111" s="123">
        <v>46090</v>
      </c>
      <c r="F3111" s="121" t="s">
        <v>68</v>
      </c>
      <c r="G3111" s="121">
        <v>384.14280000000002</v>
      </c>
      <c r="H3111" s="124">
        <v>0.72819946663000001</v>
      </c>
      <c r="I3111" s="46">
        <f>ROUNDUP(H3111/30,0)*VLOOKUP(D3111,'报价表-配送'!$B$16:$I$21,8,0)</f>
        <v>0</v>
      </c>
      <c r="J3111" s="125"/>
      <c r="K3111" s="125"/>
      <c r="L3111" s="121"/>
      <c r="M3111" s="126"/>
      <c r="N3111" s="127">
        <f t="shared" si="129"/>
        <v>0</v>
      </c>
    </row>
    <row r="3112" spans="1:14" x14ac:dyDescent="0.25">
      <c r="A3112" s="121" t="s">
        <v>82</v>
      </c>
      <c r="B3112" s="121" t="s">
        <v>148</v>
      </c>
      <c r="C3112" s="62">
        <f>VLOOKUP(B3112,合并仓明细!$D$2:$F$74,3,0)</f>
        <v>452</v>
      </c>
      <c r="D3112" s="122" t="s">
        <v>25</v>
      </c>
      <c r="E3112" s="123">
        <v>46090</v>
      </c>
      <c r="F3112" s="121" t="s">
        <v>66</v>
      </c>
      <c r="G3112" s="121">
        <v>344.05666663</v>
      </c>
      <c r="H3112" s="124"/>
      <c r="I3112" s="125"/>
      <c r="J3112" s="125"/>
      <c r="K3112" s="125"/>
      <c r="L3112" s="121"/>
      <c r="M3112" s="126"/>
      <c r="N3112" s="121"/>
    </row>
    <row r="3113" spans="1:14" x14ac:dyDescent="0.25">
      <c r="A3113" s="121" t="s">
        <v>82</v>
      </c>
      <c r="B3113" s="121" t="s">
        <v>148</v>
      </c>
      <c r="C3113" s="62">
        <f>VLOOKUP(B3113,合并仓明细!$D$2:$F$74,3,0)</f>
        <v>452</v>
      </c>
      <c r="D3113" s="122" t="s">
        <v>25</v>
      </c>
      <c r="E3113" s="123">
        <v>46106</v>
      </c>
      <c r="F3113" s="121" t="s">
        <v>66</v>
      </c>
      <c r="G3113" s="121">
        <v>44.13</v>
      </c>
      <c r="H3113" s="124">
        <v>4.4130000000000003E-2</v>
      </c>
      <c r="I3113" s="125"/>
      <c r="J3113" s="125"/>
      <c r="K3113" s="125"/>
      <c r="L3113" s="37">
        <f>IF(H3113&gt;30,QUOTIENT(H3113,30)*VLOOKUP(D3113,'报价表-配送'!$B$16:$I$21,8,0),0)+IF(AND(MOD(H3113,30)&gt;18,MOD(H3113,30)&lt;=30),1,0)*VLOOKUP(D3113,'报价表-配送'!$B$16:$I$21,8,0)+IF(AND(MOD(H3113,30)&gt;8,MOD(H3113,30)&lt;=18),1*VLOOKUP(D3113,'报价表-配送'!$B$16:$I$21,7,0),0)+IF(AND(MOD(H3113,30)&lt;=8,MOD(H3113,30)&gt;2.5),1,0)*VLOOKUP(D3113,'报价表-配送'!$B$16:$I$21,6,0)+IF(AND(MOD(H3113,30)&lt;=2.5,MOD(H3113,30)&gt;=1.5),1,0)*VLOOKUP(D3113,'报价表-配送'!$B$16:$I$21,5,0)</f>
        <v>0</v>
      </c>
      <c r="M3113" s="39">
        <f>IF(AND(MOD(H3113,30)&lt;1.5,MOD(H3113,30)&gt;=0.5),H3113,0)*VLOOKUP(D3113,'报价表-配送'!$B$16:$I$21,4,0)*1000+IF(AND(MOD(H3113,30)&lt;0.5,MOD(H3113,30)&gt;=0.02),H3113,0)*VLOOKUP(D3113,'报价表-配送'!$B$16:$I$21,3,0)*1000+IF(AND(MOD(H3113,30)&lt;0.02),H3113,0)*VLOOKUP(D3113,'报价表-配送'!$B$16:$I$21,2,0)*1000</f>
        <v>0</v>
      </c>
      <c r="N3113" s="127">
        <f t="shared" ref="N3113:N3121" si="130">SUM(I3113:L3113)</f>
        <v>0</v>
      </c>
    </row>
    <row r="3114" spans="1:14" x14ac:dyDescent="0.25">
      <c r="A3114" s="121" t="s">
        <v>82</v>
      </c>
      <c r="B3114" s="121" t="s">
        <v>146</v>
      </c>
      <c r="C3114" s="62">
        <f>VLOOKUP(B3114,合并仓明细!$D$2:$F$74,3,0)</f>
        <v>95</v>
      </c>
      <c r="D3114" s="122" t="s">
        <v>393</v>
      </c>
      <c r="E3114" s="123">
        <v>45949</v>
      </c>
      <c r="F3114" s="121" t="s">
        <v>66</v>
      </c>
      <c r="G3114" s="121">
        <v>25.834166660000001</v>
      </c>
      <c r="H3114" s="124">
        <v>2.5834166660000001E-2</v>
      </c>
      <c r="I3114" s="125"/>
      <c r="J3114" s="125"/>
      <c r="K3114" s="125"/>
      <c r="L3114" s="37">
        <f>IF(H3114&gt;30,QUOTIENT(H3114,30)*VLOOKUP(D3114,'报价表-配送'!$B$16:$I$21,8,0),0)+IF(AND(MOD(H3114,30)&gt;18,MOD(H3114,30)&lt;=30),1,0)*VLOOKUP(D3114,'报价表-配送'!$B$16:$I$21,8,0)+IF(AND(MOD(H3114,30)&gt;8,MOD(H3114,30)&lt;=18),1*VLOOKUP(D3114,'报价表-配送'!$B$16:$I$21,7,0),0)+IF(AND(MOD(H3114,30)&lt;=8,MOD(H3114,30)&gt;2.5),1,0)*VLOOKUP(D3114,'报价表-配送'!$B$16:$I$21,6,0)+IF(AND(MOD(H3114,30)&lt;=2.5,MOD(H3114,30)&gt;=1.5),1,0)*VLOOKUP(D3114,'报价表-配送'!$B$16:$I$21,5,0)</f>
        <v>0</v>
      </c>
      <c r="M3114" s="39">
        <f>IF(AND(MOD(H3114,30)&lt;1.5,MOD(H3114,30)&gt;=0.5),H3114,0)*VLOOKUP(D3114,'报价表-配送'!$B$16:$I$21,4,0)*1000+IF(AND(MOD(H3114,30)&lt;0.5,MOD(H3114,30)&gt;=0.02),H3114,0)*VLOOKUP(D3114,'报价表-配送'!$B$16:$I$21,3,0)*1000+IF(AND(MOD(H3114,30)&lt;0.02),H3114,0)*VLOOKUP(D3114,'报价表-配送'!$B$16:$I$21,2,0)*1000</f>
        <v>0</v>
      </c>
      <c r="N3114" s="127">
        <f t="shared" si="130"/>
        <v>0</v>
      </c>
    </row>
    <row r="3115" spans="1:14" x14ac:dyDescent="0.25">
      <c r="A3115" s="121" t="s">
        <v>82</v>
      </c>
      <c r="B3115" s="121" t="s">
        <v>146</v>
      </c>
      <c r="C3115" s="62">
        <f>VLOOKUP(B3115,合并仓明细!$D$2:$F$74,3,0)</f>
        <v>95</v>
      </c>
      <c r="D3115" s="122" t="s">
        <v>393</v>
      </c>
      <c r="E3115" s="123">
        <v>45981</v>
      </c>
      <c r="F3115" s="121" t="s">
        <v>66</v>
      </c>
      <c r="G3115" s="121">
        <v>561.6</v>
      </c>
      <c r="H3115" s="124">
        <v>0.56159999999999999</v>
      </c>
      <c r="I3115" s="125"/>
      <c r="J3115" s="125"/>
      <c r="K3115" s="125"/>
      <c r="L3115" s="37">
        <f>IF(H3115&gt;30,QUOTIENT(H3115,30)*VLOOKUP(D3115,'报价表-配送'!$B$16:$I$21,8,0),0)+IF(AND(MOD(H3115,30)&gt;18,MOD(H3115,30)&lt;=30),1,0)*VLOOKUP(D3115,'报价表-配送'!$B$16:$I$21,8,0)+IF(AND(MOD(H3115,30)&gt;8,MOD(H3115,30)&lt;=18),1*VLOOKUP(D3115,'报价表-配送'!$B$16:$I$21,7,0),0)+IF(AND(MOD(H3115,30)&lt;=8,MOD(H3115,30)&gt;2.5),1,0)*VLOOKUP(D3115,'报价表-配送'!$B$16:$I$21,6,0)+IF(AND(MOD(H3115,30)&lt;=2.5,MOD(H3115,30)&gt;=1.5),1,0)*VLOOKUP(D3115,'报价表-配送'!$B$16:$I$21,5,0)</f>
        <v>0</v>
      </c>
      <c r="M3115" s="39">
        <f>IF(AND(MOD(H3115,30)&lt;1.5,MOD(H3115,30)&gt;=0.5),H3115,0)*VLOOKUP(D3115,'报价表-配送'!$B$16:$I$21,4,0)*1000+IF(AND(MOD(H3115,30)&lt;0.5,MOD(H3115,30)&gt;=0.02),H3115,0)*VLOOKUP(D3115,'报价表-配送'!$B$16:$I$21,3,0)*1000+IF(AND(MOD(H3115,30)&lt;0.02),H3115,0)*VLOOKUP(D3115,'报价表-配送'!$B$16:$I$21,2,0)*1000</f>
        <v>0</v>
      </c>
      <c r="N3115" s="127">
        <f t="shared" si="130"/>
        <v>0</v>
      </c>
    </row>
    <row r="3116" spans="1:14" x14ac:dyDescent="0.25">
      <c r="A3116" s="121" t="s">
        <v>82</v>
      </c>
      <c r="B3116" s="121" t="s">
        <v>146</v>
      </c>
      <c r="C3116" s="62">
        <f>VLOOKUP(B3116,合并仓明细!$D$2:$F$74,3,0)</f>
        <v>95</v>
      </c>
      <c r="D3116" s="122" t="s">
        <v>393</v>
      </c>
      <c r="E3116" s="123">
        <v>46042</v>
      </c>
      <c r="F3116" s="121" t="s">
        <v>66</v>
      </c>
      <c r="G3116" s="121">
        <v>371.85208334999999</v>
      </c>
      <c r="H3116" s="124">
        <v>0.37185208334999997</v>
      </c>
      <c r="I3116" s="125"/>
      <c r="J3116" s="125"/>
      <c r="K3116" s="125"/>
      <c r="L3116" s="37">
        <f>IF(H3116&gt;30,QUOTIENT(H3116,30)*VLOOKUP(D3116,'报价表-配送'!$B$16:$I$21,8,0),0)+IF(AND(MOD(H3116,30)&gt;18,MOD(H3116,30)&lt;=30),1,0)*VLOOKUP(D3116,'报价表-配送'!$B$16:$I$21,8,0)+IF(AND(MOD(H3116,30)&gt;8,MOD(H3116,30)&lt;=18),1*VLOOKUP(D3116,'报价表-配送'!$B$16:$I$21,7,0),0)+IF(AND(MOD(H3116,30)&lt;=8,MOD(H3116,30)&gt;2.5),1,0)*VLOOKUP(D3116,'报价表-配送'!$B$16:$I$21,6,0)+IF(AND(MOD(H3116,30)&lt;=2.5,MOD(H3116,30)&gt;=1.5),1,0)*VLOOKUP(D3116,'报价表-配送'!$B$16:$I$21,5,0)</f>
        <v>0</v>
      </c>
      <c r="M3116" s="39">
        <f>IF(AND(MOD(H3116,30)&lt;1.5,MOD(H3116,30)&gt;=0.5),H3116,0)*VLOOKUP(D3116,'报价表-配送'!$B$16:$I$21,4,0)*1000+IF(AND(MOD(H3116,30)&lt;0.5,MOD(H3116,30)&gt;=0.02),H3116,0)*VLOOKUP(D3116,'报价表-配送'!$B$16:$I$21,3,0)*1000+IF(AND(MOD(H3116,30)&lt;0.02),H3116,0)*VLOOKUP(D3116,'报价表-配送'!$B$16:$I$21,2,0)*1000</f>
        <v>0</v>
      </c>
      <c r="N3116" s="127">
        <f t="shared" si="130"/>
        <v>0</v>
      </c>
    </row>
    <row r="3117" spans="1:14" x14ac:dyDescent="0.25">
      <c r="A3117" s="121" t="s">
        <v>82</v>
      </c>
      <c r="B3117" s="121" t="s">
        <v>149</v>
      </c>
      <c r="C3117" s="62">
        <f>VLOOKUP(B3117,合并仓明细!$D$2:$F$74,3,0)</f>
        <v>231</v>
      </c>
      <c r="D3117" s="122" t="s">
        <v>414</v>
      </c>
      <c r="E3117" s="123">
        <v>45978</v>
      </c>
      <c r="F3117" s="121" t="s">
        <v>66</v>
      </c>
      <c r="G3117" s="121">
        <v>151</v>
      </c>
      <c r="H3117" s="124">
        <v>0.151</v>
      </c>
      <c r="I3117" s="125"/>
      <c r="J3117" s="125"/>
      <c r="K3117" s="125"/>
      <c r="L3117" s="37">
        <f>IF(H3117&gt;30,QUOTIENT(H3117,30)*VLOOKUP(D3117,'报价表-配送'!$B$16:$I$21,8,0),0)+IF(AND(MOD(H3117,30)&gt;18,MOD(H3117,30)&lt;=30),1,0)*VLOOKUP(D3117,'报价表-配送'!$B$16:$I$21,8,0)+IF(AND(MOD(H3117,30)&gt;8,MOD(H3117,30)&lt;=18),1*VLOOKUP(D3117,'报价表-配送'!$B$16:$I$21,7,0),0)+IF(AND(MOD(H3117,30)&lt;=8,MOD(H3117,30)&gt;2.5),1,0)*VLOOKUP(D3117,'报价表-配送'!$B$16:$I$21,6,0)+IF(AND(MOD(H3117,30)&lt;=2.5,MOD(H3117,30)&gt;=1.5),1,0)*VLOOKUP(D3117,'报价表-配送'!$B$16:$I$21,5,0)</f>
        <v>0</v>
      </c>
      <c r="M3117" s="39">
        <f>IF(AND(MOD(H3117,30)&lt;1.5,MOD(H3117,30)&gt;=0.5),H3117,0)*VLOOKUP(D3117,'报价表-配送'!$B$16:$I$21,4,0)*1000+IF(AND(MOD(H3117,30)&lt;0.5,MOD(H3117,30)&gt;=0.02),H3117,0)*VLOOKUP(D3117,'报价表-配送'!$B$16:$I$21,3,0)*1000+IF(AND(MOD(H3117,30)&lt;0.02),H3117,0)*VLOOKUP(D3117,'报价表-配送'!$B$16:$I$21,2,0)*1000</f>
        <v>0</v>
      </c>
      <c r="N3117" s="127">
        <f t="shared" si="130"/>
        <v>0</v>
      </c>
    </row>
    <row r="3118" spans="1:14" x14ac:dyDescent="0.25">
      <c r="A3118" s="121" t="s">
        <v>82</v>
      </c>
      <c r="B3118" s="121" t="s">
        <v>149</v>
      </c>
      <c r="C3118" s="62">
        <f>VLOOKUP(B3118,合并仓明细!$D$2:$F$74,3,0)</f>
        <v>231</v>
      </c>
      <c r="D3118" s="122" t="s">
        <v>414</v>
      </c>
      <c r="E3118" s="123">
        <v>45981</v>
      </c>
      <c r="F3118" s="121" t="s">
        <v>66</v>
      </c>
      <c r="G3118" s="121">
        <v>210</v>
      </c>
      <c r="H3118" s="124">
        <v>0.21</v>
      </c>
      <c r="I3118" s="125"/>
      <c r="J3118" s="125"/>
      <c r="K3118" s="125"/>
      <c r="L3118" s="37">
        <f>IF(H3118&gt;30,QUOTIENT(H3118,30)*VLOOKUP(D3118,'报价表-配送'!$B$16:$I$21,8,0),0)+IF(AND(MOD(H3118,30)&gt;18,MOD(H3118,30)&lt;=30),1,0)*VLOOKUP(D3118,'报价表-配送'!$B$16:$I$21,8,0)+IF(AND(MOD(H3118,30)&gt;8,MOD(H3118,30)&lt;=18),1*VLOOKUP(D3118,'报价表-配送'!$B$16:$I$21,7,0),0)+IF(AND(MOD(H3118,30)&lt;=8,MOD(H3118,30)&gt;2.5),1,0)*VLOOKUP(D3118,'报价表-配送'!$B$16:$I$21,6,0)+IF(AND(MOD(H3118,30)&lt;=2.5,MOD(H3118,30)&gt;=1.5),1,0)*VLOOKUP(D3118,'报价表-配送'!$B$16:$I$21,5,0)</f>
        <v>0</v>
      </c>
      <c r="M3118" s="39">
        <f>IF(AND(MOD(H3118,30)&lt;1.5,MOD(H3118,30)&gt;=0.5),H3118,0)*VLOOKUP(D3118,'报价表-配送'!$B$16:$I$21,4,0)*1000+IF(AND(MOD(H3118,30)&lt;0.5,MOD(H3118,30)&gt;=0.02),H3118,0)*VLOOKUP(D3118,'报价表-配送'!$B$16:$I$21,3,0)*1000+IF(AND(MOD(H3118,30)&lt;0.02),H3118,0)*VLOOKUP(D3118,'报价表-配送'!$B$16:$I$21,2,0)*1000</f>
        <v>0</v>
      </c>
      <c r="N3118" s="127">
        <f t="shared" si="130"/>
        <v>0</v>
      </c>
    </row>
    <row r="3119" spans="1:14" x14ac:dyDescent="0.25">
      <c r="A3119" s="121" t="s">
        <v>82</v>
      </c>
      <c r="B3119" s="121" t="s">
        <v>149</v>
      </c>
      <c r="C3119" s="62">
        <f>VLOOKUP(B3119,合并仓明细!$D$2:$F$74,3,0)</f>
        <v>231</v>
      </c>
      <c r="D3119" s="122" t="s">
        <v>414</v>
      </c>
      <c r="E3119" s="123">
        <v>46001</v>
      </c>
      <c r="F3119" s="121" t="s">
        <v>66</v>
      </c>
      <c r="G3119" s="121">
        <v>63.463999999999999</v>
      </c>
      <c r="H3119" s="124">
        <v>6.3463999999999993E-2</v>
      </c>
      <c r="I3119" s="125"/>
      <c r="J3119" s="125"/>
      <c r="K3119" s="125"/>
      <c r="L3119" s="37">
        <f>IF(H3119&gt;30,QUOTIENT(H3119,30)*VLOOKUP(D3119,'报价表-配送'!$B$16:$I$21,8,0),0)+IF(AND(MOD(H3119,30)&gt;18,MOD(H3119,30)&lt;=30),1,0)*VLOOKUP(D3119,'报价表-配送'!$B$16:$I$21,8,0)+IF(AND(MOD(H3119,30)&gt;8,MOD(H3119,30)&lt;=18),1*VLOOKUP(D3119,'报价表-配送'!$B$16:$I$21,7,0),0)+IF(AND(MOD(H3119,30)&lt;=8,MOD(H3119,30)&gt;2.5),1,0)*VLOOKUP(D3119,'报价表-配送'!$B$16:$I$21,6,0)+IF(AND(MOD(H3119,30)&lt;=2.5,MOD(H3119,30)&gt;=1.5),1,0)*VLOOKUP(D3119,'报价表-配送'!$B$16:$I$21,5,0)</f>
        <v>0</v>
      </c>
      <c r="M3119" s="39">
        <f>IF(AND(MOD(H3119,30)&lt;1.5,MOD(H3119,30)&gt;=0.5),H3119,0)*VLOOKUP(D3119,'报价表-配送'!$B$16:$I$21,4,0)*1000+IF(AND(MOD(H3119,30)&lt;0.5,MOD(H3119,30)&gt;=0.02),H3119,0)*VLOOKUP(D3119,'报价表-配送'!$B$16:$I$21,3,0)*1000+IF(AND(MOD(H3119,30)&lt;0.02),H3119,0)*VLOOKUP(D3119,'报价表-配送'!$B$16:$I$21,2,0)*1000</f>
        <v>0</v>
      </c>
      <c r="N3119" s="127">
        <f t="shared" si="130"/>
        <v>0</v>
      </c>
    </row>
    <row r="3120" spans="1:14" x14ac:dyDescent="0.25">
      <c r="A3120" s="121" t="s">
        <v>82</v>
      </c>
      <c r="B3120" s="121" t="s">
        <v>149</v>
      </c>
      <c r="C3120" s="62">
        <f>VLOOKUP(B3120,合并仓明细!$D$2:$F$74,3,0)</f>
        <v>231</v>
      </c>
      <c r="D3120" s="122" t="s">
        <v>414</v>
      </c>
      <c r="E3120" s="123">
        <v>46002</v>
      </c>
      <c r="F3120" s="121" t="s">
        <v>66</v>
      </c>
      <c r="G3120" s="121">
        <v>68.25</v>
      </c>
      <c r="H3120" s="124">
        <v>6.8250000000000005E-2</v>
      </c>
      <c r="I3120" s="125"/>
      <c r="J3120" s="125"/>
      <c r="K3120" s="125"/>
      <c r="L3120" s="37">
        <f>IF(H3120&gt;30,QUOTIENT(H3120,30)*VLOOKUP(D3120,'报价表-配送'!$B$16:$I$21,8,0),0)+IF(AND(MOD(H3120,30)&gt;18,MOD(H3120,30)&lt;=30),1,0)*VLOOKUP(D3120,'报价表-配送'!$B$16:$I$21,8,0)+IF(AND(MOD(H3120,30)&gt;8,MOD(H3120,30)&lt;=18),1*VLOOKUP(D3120,'报价表-配送'!$B$16:$I$21,7,0),0)+IF(AND(MOD(H3120,30)&lt;=8,MOD(H3120,30)&gt;2.5),1,0)*VLOOKUP(D3120,'报价表-配送'!$B$16:$I$21,6,0)+IF(AND(MOD(H3120,30)&lt;=2.5,MOD(H3120,30)&gt;=1.5),1,0)*VLOOKUP(D3120,'报价表-配送'!$B$16:$I$21,5,0)</f>
        <v>0</v>
      </c>
      <c r="M3120" s="39">
        <f>IF(AND(MOD(H3120,30)&lt;1.5,MOD(H3120,30)&gt;=0.5),H3120,0)*VLOOKUP(D3120,'报价表-配送'!$B$16:$I$21,4,0)*1000+IF(AND(MOD(H3120,30)&lt;0.5,MOD(H3120,30)&gt;=0.02),H3120,0)*VLOOKUP(D3120,'报价表-配送'!$B$16:$I$21,3,0)*1000+IF(AND(MOD(H3120,30)&lt;0.02),H3120,0)*VLOOKUP(D3120,'报价表-配送'!$B$16:$I$21,2,0)*1000</f>
        <v>0</v>
      </c>
      <c r="N3120" s="127">
        <f t="shared" si="130"/>
        <v>0</v>
      </c>
    </row>
    <row r="3121" spans="1:14" x14ac:dyDescent="0.25">
      <c r="A3121" s="121" t="s">
        <v>82</v>
      </c>
      <c r="B3121" s="121" t="s">
        <v>149</v>
      </c>
      <c r="C3121" s="62">
        <f>VLOOKUP(B3121,合并仓明细!$D$2:$F$74,3,0)</f>
        <v>231</v>
      </c>
      <c r="D3121" s="122" t="s">
        <v>414</v>
      </c>
      <c r="E3121" s="123">
        <v>46042</v>
      </c>
      <c r="F3121" s="121" t="s">
        <v>68</v>
      </c>
      <c r="G3121" s="121">
        <v>25.824000000000002</v>
      </c>
      <c r="H3121" s="124">
        <v>2.6789786466600005</v>
      </c>
      <c r="I3121" s="46">
        <f>ROUNDUP(H3121/30,0)*VLOOKUP(D3121,'报价表-配送'!$B$16:$I$21,8,0)</f>
        <v>0</v>
      </c>
      <c r="J3121" s="125"/>
      <c r="K3121" s="125"/>
      <c r="L3121" s="121"/>
      <c r="M3121" s="126"/>
      <c r="N3121" s="127">
        <f t="shared" si="130"/>
        <v>0</v>
      </c>
    </row>
    <row r="3122" spans="1:14" x14ac:dyDescent="0.25">
      <c r="A3122" s="121" t="s">
        <v>82</v>
      </c>
      <c r="B3122" s="121" t="s">
        <v>149</v>
      </c>
      <c r="C3122" s="62">
        <f>VLOOKUP(B3122,合并仓明细!$D$2:$F$74,3,0)</f>
        <v>231</v>
      </c>
      <c r="D3122" s="122" t="s">
        <v>414</v>
      </c>
      <c r="E3122" s="123">
        <v>46042</v>
      </c>
      <c r="F3122" s="121" t="s">
        <v>67</v>
      </c>
      <c r="G3122" s="121">
        <v>1740.68298</v>
      </c>
      <c r="H3122" s="124"/>
      <c r="I3122" s="125"/>
      <c r="J3122" s="125"/>
      <c r="K3122" s="125"/>
      <c r="L3122" s="121"/>
      <c r="M3122" s="126"/>
      <c r="N3122" s="121"/>
    </row>
    <row r="3123" spans="1:14" x14ac:dyDescent="0.25">
      <c r="A3123" s="121" t="s">
        <v>82</v>
      </c>
      <c r="B3123" s="121" t="s">
        <v>149</v>
      </c>
      <c r="C3123" s="62">
        <f>VLOOKUP(B3123,合并仓明细!$D$2:$F$74,3,0)</f>
        <v>231</v>
      </c>
      <c r="D3123" s="122" t="s">
        <v>414</v>
      </c>
      <c r="E3123" s="123">
        <v>46042</v>
      </c>
      <c r="F3123" s="121" t="s">
        <v>66</v>
      </c>
      <c r="G3123" s="121">
        <v>912.4716666600001</v>
      </c>
      <c r="H3123" s="124"/>
      <c r="I3123" s="125"/>
      <c r="J3123" s="125"/>
      <c r="K3123" s="125"/>
      <c r="L3123" s="121"/>
      <c r="M3123" s="126"/>
      <c r="N3123" s="121"/>
    </row>
    <row r="3124" spans="1:14" x14ac:dyDescent="0.25">
      <c r="A3124" s="121" t="s">
        <v>82</v>
      </c>
      <c r="B3124" s="121" t="s">
        <v>149</v>
      </c>
      <c r="C3124" s="62">
        <f>VLOOKUP(B3124,合并仓明细!$D$2:$F$74,3,0)</f>
        <v>231</v>
      </c>
      <c r="D3124" s="122" t="s">
        <v>414</v>
      </c>
      <c r="E3124" s="123">
        <v>46090</v>
      </c>
      <c r="F3124" s="121" t="s">
        <v>67</v>
      </c>
      <c r="G3124" s="121">
        <v>2321.5634104999999</v>
      </c>
      <c r="H3124" s="124">
        <v>2.3215634105</v>
      </c>
      <c r="I3124" s="38">
        <f>IF(H3124&gt;30,QUOTIENT(H3124,30)*VLOOKUP(D3124,'报价表-配送'!$B$16:$I$21,8,0),0)+IF(AND(MOD(H3124,30)&gt;18,MOD(H3124,30)&lt;=30),1,0)*VLOOKUP(D3124,'报价表-配送'!$B$16:$I$21,8,0)</f>
        <v>0</v>
      </c>
      <c r="J3124" s="38">
        <f>IF(AND(MOD(H3124,30)&gt;8,MOD(H3124,30)&lt;=18),1*VLOOKUP(D3124,'报价表-配送'!$B$16:$I$21,7,0),0)</f>
        <v>0</v>
      </c>
      <c r="K3124" s="38">
        <f>IF(AND(MOD(H3124,30)&lt;=8,MOD(H3124,30)&gt;0),1,0)*VLOOKUP(D3124,'报价表-配送'!$B$16:$I$21,6,0)</f>
        <v>0</v>
      </c>
      <c r="L3124" s="121"/>
      <c r="M3124" s="126"/>
      <c r="N3124" s="127">
        <f t="shared" ref="N3124:N3126" si="131">SUM(I3124:L3124)</f>
        <v>0</v>
      </c>
    </row>
    <row r="3125" spans="1:14" x14ac:dyDescent="0.25">
      <c r="A3125" s="121" t="s">
        <v>82</v>
      </c>
      <c r="B3125" s="121" t="s">
        <v>149</v>
      </c>
      <c r="C3125" s="62">
        <f>VLOOKUP(B3125,合并仓明细!$D$2:$F$74,3,0)</f>
        <v>231</v>
      </c>
      <c r="D3125" s="122" t="s">
        <v>414</v>
      </c>
      <c r="E3125" s="123">
        <v>46100</v>
      </c>
      <c r="F3125" s="121" t="s">
        <v>66</v>
      </c>
      <c r="G3125" s="121">
        <v>62.42</v>
      </c>
      <c r="H3125" s="124">
        <v>6.2420000000000003E-2</v>
      </c>
      <c r="I3125" s="125"/>
      <c r="J3125" s="125"/>
      <c r="K3125" s="125"/>
      <c r="L3125" s="37">
        <f>IF(H3125&gt;30,QUOTIENT(H3125,30)*VLOOKUP(D3125,'报价表-配送'!$B$16:$I$21,8,0),0)+IF(AND(MOD(H3125,30)&gt;18,MOD(H3125,30)&lt;=30),1,0)*VLOOKUP(D3125,'报价表-配送'!$B$16:$I$21,8,0)+IF(AND(MOD(H3125,30)&gt;8,MOD(H3125,30)&lt;=18),1*VLOOKUP(D3125,'报价表-配送'!$B$16:$I$21,7,0),0)+IF(AND(MOD(H3125,30)&lt;=8,MOD(H3125,30)&gt;2.5),1,0)*VLOOKUP(D3125,'报价表-配送'!$B$16:$I$21,6,0)+IF(AND(MOD(H3125,30)&lt;=2.5,MOD(H3125,30)&gt;=1.5),1,0)*VLOOKUP(D3125,'报价表-配送'!$B$16:$I$21,5,0)</f>
        <v>0</v>
      </c>
      <c r="M3125" s="39">
        <f>IF(AND(MOD(H3125,30)&lt;1.5,MOD(H3125,30)&gt;=0.5),H3125,0)*VLOOKUP(D3125,'报价表-配送'!$B$16:$I$21,4,0)*1000+IF(AND(MOD(H3125,30)&lt;0.5,MOD(H3125,30)&gt;=0.02),H3125,0)*VLOOKUP(D3125,'报价表-配送'!$B$16:$I$21,3,0)*1000+IF(AND(MOD(H3125,30)&lt;0.02),H3125,0)*VLOOKUP(D3125,'报价表-配送'!$B$16:$I$21,2,0)*1000</f>
        <v>0</v>
      </c>
      <c r="N3125" s="127">
        <f t="shared" si="131"/>
        <v>0</v>
      </c>
    </row>
    <row r="3126" spans="1:14" x14ac:dyDescent="0.25">
      <c r="A3126" s="121" t="s">
        <v>81</v>
      </c>
      <c r="B3126" s="121" t="s">
        <v>157</v>
      </c>
      <c r="C3126" s="62">
        <f>VLOOKUP(B3126,合并仓明细!$D$2:$F$74,3,0)</f>
        <v>91</v>
      </c>
      <c r="D3126" s="122" t="s">
        <v>393</v>
      </c>
      <c r="E3126" s="123">
        <v>45951</v>
      </c>
      <c r="F3126" s="121" t="s">
        <v>68</v>
      </c>
      <c r="G3126" s="121">
        <v>2092.7846399999999</v>
      </c>
      <c r="H3126" s="124">
        <v>3.5501342423799995</v>
      </c>
      <c r="I3126" s="46">
        <f>ROUNDUP(H3126/30,0)*VLOOKUP(D3126,'报价表-配送'!$B$32:$I$37,8,0)</f>
        <v>0</v>
      </c>
      <c r="J3126" s="125"/>
      <c r="K3126" s="125"/>
      <c r="L3126" s="121"/>
      <c r="M3126" s="126"/>
      <c r="N3126" s="127">
        <f t="shared" si="131"/>
        <v>0</v>
      </c>
    </row>
    <row r="3127" spans="1:14" x14ac:dyDescent="0.25">
      <c r="A3127" s="121" t="s">
        <v>81</v>
      </c>
      <c r="B3127" s="121" t="s">
        <v>157</v>
      </c>
      <c r="C3127" s="62">
        <f>VLOOKUP(B3127,合并仓明细!$D$2:$F$74,3,0)</f>
        <v>91</v>
      </c>
      <c r="D3127" s="122" t="s">
        <v>393</v>
      </c>
      <c r="E3127" s="123">
        <v>45951</v>
      </c>
      <c r="F3127" s="121" t="s">
        <v>67</v>
      </c>
      <c r="G3127" s="121">
        <v>1242.2799</v>
      </c>
      <c r="H3127" s="124"/>
      <c r="I3127" s="125"/>
      <c r="J3127" s="125"/>
      <c r="K3127" s="125"/>
      <c r="L3127" s="121"/>
      <c r="M3127" s="126"/>
      <c r="N3127" s="121"/>
    </row>
    <row r="3128" spans="1:14" x14ac:dyDescent="0.25">
      <c r="A3128" s="121" t="s">
        <v>81</v>
      </c>
      <c r="B3128" s="121" t="s">
        <v>157</v>
      </c>
      <c r="C3128" s="62">
        <f>VLOOKUP(B3128,合并仓明细!$D$2:$F$74,3,0)</f>
        <v>91</v>
      </c>
      <c r="D3128" s="122" t="s">
        <v>393</v>
      </c>
      <c r="E3128" s="123">
        <v>45951</v>
      </c>
      <c r="F3128" s="121" t="s">
        <v>66</v>
      </c>
      <c r="G3128" s="121">
        <v>215.06970238000002</v>
      </c>
      <c r="H3128" s="124"/>
      <c r="I3128" s="125"/>
      <c r="J3128" s="125"/>
      <c r="K3128" s="125"/>
      <c r="L3128" s="121"/>
      <c r="M3128" s="126"/>
      <c r="N3128" s="121"/>
    </row>
    <row r="3129" spans="1:14" x14ac:dyDescent="0.25">
      <c r="A3129" s="121" t="s">
        <v>81</v>
      </c>
      <c r="B3129" s="121" t="s">
        <v>157</v>
      </c>
      <c r="C3129" s="62">
        <f>VLOOKUP(B3129,合并仓明细!$D$2:$F$74,3,0)</f>
        <v>91</v>
      </c>
      <c r="D3129" s="122" t="s">
        <v>393</v>
      </c>
      <c r="E3129" s="123">
        <v>45970</v>
      </c>
      <c r="F3129" s="121" t="s">
        <v>67</v>
      </c>
      <c r="G3129" s="121">
        <v>945</v>
      </c>
      <c r="H3129" s="124">
        <v>1.8562865238200001</v>
      </c>
      <c r="I3129" s="38">
        <f>IF(H3129&gt;30,QUOTIENT(H3129,30)*VLOOKUP(D3129,'报价表-配送'!$B$32:$I$37,8,0),0)+IF(AND(MOD(H3129,30)&gt;18,MOD(H3129,30)&lt;=30),1,0)*VLOOKUP(D3129,'报价表-配送'!$B$32:$I$37,8,0)</f>
        <v>0</v>
      </c>
      <c r="J3129" s="38">
        <f>IF(AND(MOD(H3129,30)&gt;8,MOD(H3129,30)&lt;=18),1*VLOOKUP(D3129,'报价表-配送'!$B$32:$I$37,7,0),0)</f>
        <v>0</v>
      </c>
      <c r="K3129" s="38">
        <f>IF(AND(MOD(H3129,30)&lt;=8,MOD(H3129,30)&gt;0),1,0)*VLOOKUP(D3129,'报价表-配送'!$B$32:$I$37,6,0)</f>
        <v>0</v>
      </c>
      <c r="L3129" s="121"/>
      <c r="M3129" s="126"/>
      <c r="N3129" s="127">
        <f t="shared" ref="N3129" si="132">SUM(I3129:L3129)</f>
        <v>0</v>
      </c>
    </row>
    <row r="3130" spans="1:14" x14ac:dyDescent="0.25">
      <c r="A3130" s="121" t="s">
        <v>81</v>
      </c>
      <c r="B3130" s="121" t="s">
        <v>157</v>
      </c>
      <c r="C3130" s="62">
        <f>VLOOKUP(B3130,合并仓明细!$D$2:$F$74,3,0)</f>
        <v>91</v>
      </c>
      <c r="D3130" s="122" t="s">
        <v>393</v>
      </c>
      <c r="E3130" s="123">
        <v>45970</v>
      </c>
      <c r="F3130" s="121" t="s">
        <v>66</v>
      </c>
      <c r="G3130" s="121">
        <v>911.28652382000007</v>
      </c>
      <c r="H3130" s="124"/>
      <c r="I3130" s="125"/>
      <c r="J3130" s="125"/>
      <c r="K3130" s="125"/>
      <c r="L3130" s="121"/>
      <c r="M3130" s="126"/>
      <c r="N3130" s="121"/>
    </row>
    <row r="3131" spans="1:14" x14ac:dyDescent="0.25">
      <c r="A3131" s="121" t="s">
        <v>81</v>
      </c>
      <c r="B3131" s="121" t="s">
        <v>157</v>
      </c>
      <c r="C3131" s="62">
        <f>VLOOKUP(B3131,合并仓明细!$D$2:$F$74,3,0)</f>
        <v>91</v>
      </c>
      <c r="D3131" s="122" t="s">
        <v>393</v>
      </c>
      <c r="E3131" s="123">
        <v>46027</v>
      </c>
      <c r="F3131" s="121" t="s">
        <v>66</v>
      </c>
      <c r="G3131" s="121">
        <v>621.13166676999992</v>
      </c>
      <c r="H3131" s="124">
        <v>0.62113166676999998</v>
      </c>
      <c r="I3131" s="125"/>
      <c r="J3131" s="125"/>
      <c r="K3131" s="125"/>
      <c r="L3131" s="37">
        <f>IF(H3131&gt;30,QUOTIENT(H3131,30)*VLOOKUP(D3131,'报价表-配送'!$B$32:$I$37,8,0),0)+IF(AND(MOD(H3131,30)&gt;18,MOD(H3131,30)&lt;=30),1,0)*VLOOKUP(D3131,'报价表-配送'!$B$32:$I$37,8,0)+IF(AND(MOD(H3131,30)&gt;8,MOD(H3131,30)&lt;=18),1*VLOOKUP(D3131,'报价表-配送'!$B$32:$I$37,7,0),0)+IF(AND(MOD(H3131,30)&lt;=8,MOD(H3131,30)&gt;2.5),1,0)*VLOOKUP(D3131,'报价表-配送'!$B$32:$I$37,6,0)+IF(AND(MOD(H3131,30)&lt;=2.5,MOD(H3131,30)&gt;=1.5),1,0)*VLOOKUP(D3131,'报价表-配送'!$B$32:$I$37,5,0)</f>
        <v>0</v>
      </c>
      <c r="M3131" s="39">
        <f>IF(AND(MOD(H3131,30)&lt;1.5,MOD(H3131,30)&gt;=0.5),H3131,0)*VLOOKUP(D3131,'报价表-配送'!$B$32:$I$37,4,0)*1000+IF(AND(MOD(H3131,30)&lt;0.5,MOD(H3131,30)&gt;=0.02),H3131,0)*VLOOKUP(D3131,'报价表-配送'!$B$32:$I$37,3,0)*1000+IF(AND(MOD(H3131,30)&lt;0.02),H3131,0)*VLOOKUP(D3131,'报价表-配送'!$B$32:$I$37,2,0)*1000</f>
        <v>0</v>
      </c>
      <c r="N3131" s="127">
        <f t="shared" ref="N3131:N3132" si="133">SUM(I3131:L3131)</f>
        <v>0</v>
      </c>
    </row>
    <row r="3132" spans="1:14" x14ac:dyDescent="0.25">
      <c r="A3132" s="121" t="s">
        <v>81</v>
      </c>
      <c r="B3132" s="121" t="s">
        <v>158</v>
      </c>
      <c r="C3132" s="62">
        <f>VLOOKUP(B3132,合并仓明细!$D$2:$F$74,3,0)</f>
        <v>55</v>
      </c>
      <c r="D3132" s="122" t="s">
        <v>393</v>
      </c>
      <c r="E3132" s="123">
        <v>46000</v>
      </c>
      <c r="F3132" s="121" t="s">
        <v>68</v>
      </c>
      <c r="G3132" s="121">
        <v>1030.1500000000001</v>
      </c>
      <c r="H3132" s="124">
        <v>2.7113899999999997</v>
      </c>
      <c r="I3132" s="46">
        <f>ROUNDUP(H3132/30,0)*VLOOKUP(D3132,'报价表-配送'!$B$32:$I$37,8,0)</f>
        <v>0</v>
      </c>
      <c r="J3132" s="125"/>
      <c r="K3132" s="125"/>
      <c r="L3132" s="121"/>
      <c r="M3132" s="126"/>
      <c r="N3132" s="127">
        <f t="shared" si="133"/>
        <v>0</v>
      </c>
    </row>
    <row r="3133" spans="1:14" x14ac:dyDescent="0.25">
      <c r="A3133" s="121" t="s">
        <v>81</v>
      </c>
      <c r="B3133" s="121" t="s">
        <v>158</v>
      </c>
      <c r="C3133" s="62">
        <f>VLOOKUP(B3133,合并仓明细!$D$2:$F$74,3,0)</f>
        <v>55</v>
      </c>
      <c r="D3133" s="122" t="s">
        <v>393</v>
      </c>
      <c r="E3133" s="123">
        <v>46000</v>
      </c>
      <c r="F3133" s="121" t="s">
        <v>67</v>
      </c>
      <c r="G3133" s="121">
        <v>1503.37</v>
      </c>
      <c r="H3133" s="124"/>
      <c r="I3133" s="125"/>
      <c r="J3133" s="125"/>
      <c r="K3133" s="125"/>
      <c r="L3133" s="121"/>
      <c r="M3133" s="126"/>
      <c r="N3133" s="121"/>
    </row>
    <row r="3134" spans="1:14" x14ac:dyDescent="0.25">
      <c r="A3134" s="121" t="s">
        <v>81</v>
      </c>
      <c r="B3134" s="121" t="s">
        <v>158</v>
      </c>
      <c r="C3134" s="62">
        <f>VLOOKUP(B3134,合并仓明细!$D$2:$F$74,3,0)</f>
        <v>55</v>
      </c>
      <c r="D3134" s="122" t="s">
        <v>393</v>
      </c>
      <c r="E3134" s="123">
        <v>46000</v>
      </c>
      <c r="F3134" s="121" t="s">
        <v>66</v>
      </c>
      <c r="G3134" s="121">
        <v>177.86999999999998</v>
      </c>
      <c r="H3134" s="124"/>
      <c r="I3134" s="125"/>
      <c r="J3134" s="125"/>
      <c r="K3134" s="125"/>
      <c r="L3134" s="121"/>
      <c r="M3134" s="126"/>
      <c r="N3134" s="121"/>
    </row>
    <row r="3135" spans="1:14" x14ac:dyDescent="0.25">
      <c r="A3135" s="121" t="s">
        <v>81</v>
      </c>
      <c r="B3135" s="121" t="s">
        <v>158</v>
      </c>
      <c r="C3135" s="62">
        <f>VLOOKUP(B3135,合并仓明细!$D$2:$F$74,3,0)</f>
        <v>55</v>
      </c>
      <c r="D3135" s="122" t="s">
        <v>393</v>
      </c>
      <c r="E3135" s="123">
        <v>46016</v>
      </c>
      <c r="F3135" s="121" t="s">
        <v>67</v>
      </c>
      <c r="G3135" s="121">
        <v>1348.52</v>
      </c>
      <c r="H3135" s="124">
        <v>1.8107899999999999</v>
      </c>
      <c r="I3135" s="38">
        <f>IF(H3135&gt;30,QUOTIENT(H3135,30)*VLOOKUP(D3135,'报价表-配送'!$B$32:$I$37,8,0),0)+IF(AND(MOD(H3135,30)&gt;18,MOD(H3135,30)&lt;=30),1,0)*VLOOKUP(D3135,'报价表-配送'!$B$32:$I$37,8,0)</f>
        <v>0</v>
      </c>
      <c r="J3135" s="38">
        <f>IF(AND(MOD(H3135,30)&gt;8,MOD(H3135,30)&lt;=18),1*VLOOKUP(D3135,'报价表-配送'!$B$32:$I$37,7,0),0)</f>
        <v>0</v>
      </c>
      <c r="K3135" s="38">
        <f>IF(AND(MOD(H3135,30)&lt;=8,MOD(H3135,30)&gt;0),1,0)*VLOOKUP(D3135,'报价表-配送'!$B$32:$I$37,6,0)</f>
        <v>0</v>
      </c>
      <c r="L3135" s="121"/>
      <c r="M3135" s="126"/>
      <c r="N3135" s="127">
        <f t="shared" ref="N3135" si="134">SUM(I3135:L3135)</f>
        <v>0</v>
      </c>
    </row>
    <row r="3136" spans="1:14" x14ac:dyDescent="0.25">
      <c r="A3136" s="121" t="s">
        <v>81</v>
      </c>
      <c r="B3136" s="121" t="s">
        <v>158</v>
      </c>
      <c r="C3136" s="62">
        <f>VLOOKUP(B3136,合并仓明细!$D$2:$F$74,3,0)</f>
        <v>55</v>
      </c>
      <c r="D3136" s="122" t="s">
        <v>393</v>
      </c>
      <c r="E3136" s="123">
        <v>46016</v>
      </c>
      <c r="F3136" s="121" t="s">
        <v>66</v>
      </c>
      <c r="G3136" s="121">
        <v>462.27000000000004</v>
      </c>
      <c r="H3136" s="124"/>
      <c r="I3136" s="125"/>
      <c r="J3136" s="125"/>
      <c r="K3136" s="125"/>
      <c r="L3136" s="121"/>
      <c r="M3136" s="126"/>
      <c r="N3136" s="121"/>
    </row>
    <row r="3137" spans="1:14" x14ac:dyDescent="0.25">
      <c r="A3137" s="121" t="s">
        <v>81</v>
      </c>
      <c r="B3137" s="121" t="s">
        <v>158</v>
      </c>
      <c r="C3137" s="62">
        <f>VLOOKUP(B3137,合并仓明细!$D$2:$F$74,3,0)</f>
        <v>55</v>
      </c>
      <c r="D3137" s="122" t="s">
        <v>393</v>
      </c>
      <c r="E3137" s="123">
        <v>46045</v>
      </c>
      <c r="F3137" s="121" t="s">
        <v>68</v>
      </c>
      <c r="G3137" s="121">
        <v>422.55707999999998</v>
      </c>
      <c r="H3137" s="124">
        <v>1.4991687466500001</v>
      </c>
      <c r="I3137" s="46">
        <f>ROUNDUP(H3137/30,0)*VLOOKUP(D3137,'报价表-配送'!$B$32:$I$37,8,0)</f>
        <v>0</v>
      </c>
      <c r="J3137" s="125"/>
      <c r="K3137" s="125"/>
      <c r="L3137" s="121"/>
      <c r="M3137" s="126"/>
      <c r="N3137" s="127">
        <f t="shared" ref="N3137" si="135">SUM(I3137:L3137)</f>
        <v>0</v>
      </c>
    </row>
    <row r="3138" spans="1:14" x14ac:dyDescent="0.25">
      <c r="A3138" s="121" t="s">
        <v>81</v>
      </c>
      <c r="B3138" s="121" t="s">
        <v>158</v>
      </c>
      <c r="C3138" s="62">
        <f>VLOOKUP(B3138,合并仓明细!$D$2:$F$74,3,0)</f>
        <v>55</v>
      </c>
      <c r="D3138" s="122" t="s">
        <v>393</v>
      </c>
      <c r="E3138" s="123">
        <v>46045</v>
      </c>
      <c r="F3138" s="121" t="s">
        <v>67</v>
      </c>
      <c r="G3138" s="121">
        <v>1004.3999999999999</v>
      </c>
      <c r="H3138" s="124"/>
      <c r="I3138" s="125"/>
      <c r="J3138" s="125"/>
      <c r="K3138" s="125"/>
      <c r="L3138" s="121"/>
      <c r="M3138" s="126"/>
      <c r="N3138" s="121"/>
    </row>
    <row r="3139" spans="1:14" x14ac:dyDescent="0.25">
      <c r="A3139" s="121" t="s">
        <v>81</v>
      </c>
      <c r="B3139" s="121" t="s">
        <v>158</v>
      </c>
      <c r="C3139" s="62">
        <f>VLOOKUP(B3139,合并仓明细!$D$2:$F$74,3,0)</f>
        <v>55</v>
      </c>
      <c r="D3139" s="122" t="s">
        <v>393</v>
      </c>
      <c r="E3139" s="123">
        <v>46045</v>
      </c>
      <c r="F3139" s="121" t="s">
        <v>66</v>
      </c>
      <c r="G3139" s="121">
        <v>72.211666649999998</v>
      </c>
      <c r="H3139" s="124"/>
      <c r="I3139" s="125"/>
      <c r="J3139" s="125"/>
      <c r="K3139" s="125"/>
      <c r="L3139" s="121"/>
      <c r="M3139" s="126"/>
      <c r="N3139" s="121"/>
    </row>
    <row r="3140" spans="1:14" x14ac:dyDescent="0.25">
      <c r="A3140" s="121" t="s">
        <v>81</v>
      </c>
      <c r="B3140" s="121" t="s">
        <v>158</v>
      </c>
      <c r="C3140" s="62">
        <f>VLOOKUP(B3140,合并仓明细!$D$2:$F$74,3,0)</f>
        <v>55</v>
      </c>
      <c r="D3140" s="122" t="s">
        <v>393</v>
      </c>
      <c r="E3140" s="123">
        <v>46090</v>
      </c>
      <c r="F3140" s="121" t="s">
        <v>66</v>
      </c>
      <c r="G3140" s="121">
        <v>13.600000000000001</v>
      </c>
      <c r="H3140" s="124">
        <v>1.3600000000000001E-2</v>
      </c>
      <c r="I3140" s="125"/>
      <c r="J3140" s="125"/>
      <c r="K3140" s="125"/>
      <c r="L3140" s="37">
        <f>IF(H3140&gt;30,QUOTIENT(H3140,30)*VLOOKUP(D3140,'报价表-配送'!$B$32:$I$37,8,0),0)+IF(AND(MOD(H3140,30)&gt;18,MOD(H3140,30)&lt;=30),1,0)*VLOOKUP(D3140,'报价表-配送'!$B$32:$I$37,8,0)+IF(AND(MOD(H3140,30)&gt;8,MOD(H3140,30)&lt;=18),1*VLOOKUP(D3140,'报价表-配送'!$B$32:$I$37,7,0),0)+IF(AND(MOD(H3140,30)&lt;=8,MOD(H3140,30)&gt;2.5),1,0)*VLOOKUP(D3140,'报价表-配送'!$B$32:$I$37,6,0)+IF(AND(MOD(H3140,30)&lt;=2.5,MOD(H3140,30)&gt;=1.5),1,0)*VLOOKUP(D3140,'报价表-配送'!$B$32:$I$37,5,0)</f>
        <v>0</v>
      </c>
      <c r="M3140" s="39">
        <f>IF(AND(MOD(H3140,30)&lt;1.5,MOD(H3140,30)&gt;=0.5),H3140,0)*VLOOKUP(D3140,'报价表-配送'!$B$32:$I$37,4,0)*1000+IF(AND(MOD(H3140,30)&lt;0.5,MOD(H3140,30)&gt;=0.02),H3140,0)*VLOOKUP(D3140,'报价表-配送'!$B$32:$I$37,3,0)*1000+IF(AND(MOD(H3140,30)&lt;0.02),H3140,0)*VLOOKUP(D3140,'报价表-配送'!$B$32:$I$37,2,0)*1000</f>
        <v>0</v>
      </c>
      <c r="N3140" s="127">
        <f t="shared" ref="N3140:N3141" si="136">SUM(I3140:L3140)</f>
        <v>0</v>
      </c>
    </row>
    <row r="3141" spans="1:14" x14ac:dyDescent="0.25">
      <c r="A3141" s="121" t="s">
        <v>81</v>
      </c>
      <c r="B3141" s="121" t="s">
        <v>158</v>
      </c>
      <c r="C3141" s="62">
        <f>VLOOKUP(B3141,合并仓明细!$D$2:$F$74,3,0)</f>
        <v>55</v>
      </c>
      <c r="D3141" s="122" t="s">
        <v>393</v>
      </c>
      <c r="E3141" s="123">
        <v>46092</v>
      </c>
      <c r="F3141" s="121" t="s">
        <v>68</v>
      </c>
      <c r="G3141" s="121">
        <v>405.12144000000001</v>
      </c>
      <c r="H3141" s="124">
        <v>0.66762144000000001</v>
      </c>
      <c r="I3141" s="46">
        <f>ROUNDUP(H3141/30,0)*VLOOKUP(D3141,'报价表-配送'!$B$32:$I$37,8,0)</f>
        <v>0</v>
      </c>
      <c r="J3141" s="125"/>
      <c r="K3141" s="125"/>
      <c r="L3141" s="121"/>
      <c r="M3141" s="126"/>
      <c r="N3141" s="127">
        <f t="shared" si="136"/>
        <v>0</v>
      </c>
    </row>
    <row r="3142" spans="1:14" x14ac:dyDescent="0.25">
      <c r="A3142" s="121" t="s">
        <v>81</v>
      </c>
      <c r="B3142" s="121" t="s">
        <v>158</v>
      </c>
      <c r="C3142" s="62">
        <f>VLOOKUP(B3142,合并仓明细!$D$2:$F$74,3,0)</f>
        <v>55</v>
      </c>
      <c r="D3142" s="122" t="s">
        <v>393</v>
      </c>
      <c r="E3142" s="123">
        <v>46092</v>
      </c>
      <c r="F3142" s="121" t="s">
        <v>66</v>
      </c>
      <c r="G3142" s="121">
        <v>262.5</v>
      </c>
      <c r="H3142" s="124"/>
      <c r="I3142" s="125"/>
      <c r="J3142" s="125"/>
      <c r="K3142" s="125"/>
      <c r="L3142" s="121"/>
      <c r="M3142" s="126"/>
      <c r="N3142" s="121"/>
    </row>
    <row r="3143" spans="1:14" x14ac:dyDescent="0.25">
      <c r="A3143" s="121" t="s">
        <v>81</v>
      </c>
      <c r="B3143" s="121" t="s">
        <v>159</v>
      </c>
      <c r="C3143" s="62">
        <f>VLOOKUP(B3143,合并仓明细!$D$2:$F$74,3,0)</f>
        <v>94</v>
      </c>
      <c r="D3143" s="122" t="s">
        <v>393</v>
      </c>
      <c r="E3143" s="123">
        <v>45943</v>
      </c>
      <c r="F3143" s="121" t="s">
        <v>67</v>
      </c>
      <c r="G3143" s="121">
        <v>6840</v>
      </c>
      <c r="H3143" s="124">
        <v>6.84</v>
      </c>
      <c r="I3143" s="38">
        <f>IF(H3143&gt;30,QUOTIENT(H3143,30)*VLOOKUP(D3143,'报价表-配送'!$B$32:$I$37,8,0),0)+IF(AND(MOD(H3143,30)&gt;18,MOD(H3143,30)&lt;=30),1,0)*VLOOKUP(D3143,'报价表-配送'!$B$32:$I$37,8,0)</f>
        <v>0</v>
      </c>
      <c r="J3143" s="38">
        <f>IF(AND(MOD(H3143,30)&gt;8,MOD(H3143,30)&lt;=18),1*VLOOKUP(D3143,'报价表-配送'!$B$32:$I$37,7,0),0)</f>
        <v>0</v>
      </c>
      <c r="K3143" s="38">
        <f>IF(AND(MOD(H3143,30)&lt;=8,MOD(H3143,30)&gt;0),1,0)*VLOOKUP(D3143,'报价表-配送'!$B$32:$I$37,6,0)</f>
        <v>0</v>
      </c>
      <c r="L3143" s="121"/>
      <c r="M3143" s="126"/>
      <c r="N3143" s="127">
        <f t="shared" ref="N3143:N3144" si="137">SUM(I3143:L3143)</f>
        <v>0</v>
      </c>
    </row>
    <row r="3144" spans="1:14" x14ac:dyDescent="0.25">
      <c r="A3144" s="121" t="s">
        <v>81</v>
      </c>
      <c r="B3144" s="121" t="s">
        <v>159</v>
      </c>
      <c r="C3144" s="62">
        <f>VLOOKUP(B3144,合并仓明细!$D$2:$F$74,3,0)</f>
        <v>94</v>
      </c>
      <c r="D3144" s="122" t="s">
        <v>393</v>
      </c>
      <c r="E3144" s="123">
        <v>45974</v>
      </c>
      <c r="F3144" s="121" t="s">
        <v>67</v>
      </c>
      <c r="G3144" s="121">
        <v>569.26599999999996</v>
      </c>
      <c r="H3144" s="124">
        <v>0.77811600000000003</v>
      </c>
      <c r="I3144" s="38">
        <f>IF(H3144&gt;30,QUOTIENT(H3144,30)*VLOOKUP(D3144,'报价表-配送'!$B$32:$I$37,8,0),0)+IF(AND(MOD(H3144,30)&gt;18,MOD(H3144,30)&lt;=30),1,0)*VLOOKUP(D3144,'报价表-配送'!$B$32:$I$37,8,0)</f>
        <v>0</v>
      </c>
      <c r="J3144" s="38">
        <f>IF(AND(MOD(H3144,30)&gt;8,MOD(H3144,30)&lt;=18),1*VLOOKUP(D3144,'报价表-配送'!$B$32:$I$37,7,0),0)</f>
        <v>0</v>
      </c>
      <c r="K3144" s="38">
        <f>IF(AND(MOD(H3144,30)&lt;=8,MOD(H3144,30)&gt;0),1,0)*VLOOKUP(D3144,'报价表-配送'!$B$32:$I$37,6,0)</f>
        <v>0</v>
      </c>
      <c r="L3144" s="121"/>
      <c r="M3144" s="126"/>
      <c r="N3144" s="127">
        <f t="shared" si="137"/>
        <v>0</v>
      </c>
    </row>
    <row r="3145" spans="1:14" x14ac:dyDescent="0.25">
      <c r="A3145" s="121" t="s">
        <v>81</v>
      </c>
      <c r="B3145" s="121" t="s">
        <v>159</v>
      </c>
      <c r="C3145" s="62">
        <f>VLOOKUP(B3145,合并仓明细!$D$2:$F$74,3,0)</f>
        <v>94</v>
      </c>
      <c r="D3145" s="122" t="s">
        <v>393</v>
      </c>
      <c r="E3145" s="123">
        <v>45974</v>
      </c>
      <c r="F3145" s="121" t="s">
        <v>66</v>
      </c>
      <c r="G3145" s="121">
        <v>208.85</v>
      </c>
      <c r="H3145" s="124"/>
      <c r="I3145" s="125"/>
      <c r="J3145" s="125"/>
      <c r="K3145" s="125"/>
      <c r="L3145" s="121"/>
      <c r="M3145" s="126"/>
      <c r="N3145" s="121"/>
    </row>
    <row r="3146" spans="1:14" x14ac:dyDescent="0.25">
      <c r="A3146" s="121" t="s">
        <v>81</v>
      </c>
      <c r="B3146" s="121" t="s">
        <v>159</v>
      </c>
      <c r="C3146" s="62">
        <f>VLOOKUP(B3146,合并仓明细!$D$2:$F$74,3,0)</f>
        <v>94</v>
      </c>
      <c r="D3146" s="122" t="s">
        <v>393</v>
      </c>
      <c r="E3146" s="123">
        <v>46001</v>
      </c>
      <c r="F3146" s="121" t="s">
        <v>67</v>
      </c>
      <c r="G3146" s="121">
        <v>14520.61</v>
      </c>
      <c r="H3146" s="124">
        <v>15.901110000000001</v>
      </c>
      <c r="I3146" s="38">
        <f>IF(H3146&gt;30,QUOTIENT(H3146,30)*VLOOKUP(D3146,'报价表-配送'!$B$32:$I$37,8,0),0)+IF(AND(MOD(H3146,30)&gt;18,MOD(H3146,30)&lt;=30),1,0)*VLOOKUP(D3146,'报价表-配送'!$B$32:$I$37,8,0)</f>
        <v>0</v>
      </c>
      <c r="J3146" s="38">
        <f>IF(AND(MOD(H3146,30)&gt;8,MOD(H3146,30)&lt;=18),1*VLOOKUP(D3146,'报价表-配送'!$B$32:$I$37,7,0),0)</f>
        <v>0</v>
      </c>
      <c r="K3146" s="38">
        <f>IF(AND(MOD(H3146,30)&lt;=8,MOD(H3146,30)&gt;0),1,0)*VLOOKUP(D3146,'报价表-配送'!$B$32:$I$37,6,0)</f>
        <v>0</v>
      </c>
      <c r="L3146" s="121"/>
      <c r="M3146" s="126"/>
      <c r="N3146" s="127">
        <f t="shared" ref="N3146" si="138">SUM(I3146:L3146)</f>
        <v>0</v>
      </c>
    </row>
    <row r="3147" spans="1:14" x14ac:dyDescent="0.25">
      <c r="A3147" s="121" t="s">
        <v>81</v>
      </c>
      <c r="B3147" s="121" t="s">
        <v>159</v>
      </c>
      <c r="C3147" s="62">
        <f>VLOOKUP(B3147,合并仓明细!$D$2:$F$74,3,0)</f>
        <v>94</v>
      </c>
      <c r="D3147" s="122" t="s">
        <v>393</v>
      </c>
      <c r="E3147" s="123">
        <v>46001</v>
      </c>
      <c r="F3147" s="121" t="s">
        <v>66</v>
      </c>
      <c r="G3147" s="121">
        <v>1380.5</v>
      </c>
      <c r="H3147" s="124"/>
      <c r="I3147" s="125"/>
      <c r="J3147" s="125"/>
      <c r="K3147" s="125"/>
      <c r="L3147" s="121"/>
      <c r="M3147" s="126"/>
      <c r="N3147" s="121"/>
    </row>
    <row r="3148" spans="1:14" x14ac:dyDescent="0.25">
      <c r="A3148" s="121" t="s">
        <v>81</v>
      </c>
      <c r="B3148" s="121" t="s">
        <v>159</v>
      </c>
      <c r="C3148" s="62">
        <f>VLOOKUP(B3148,合并仓明细!$D$2:$F$74,3,0)</f>
        <v>94</v>
      </c>
      <c r="D3148" s="122" t="s">
        <v>393</v>
      </c>
      <c r="E3148" s="123">
        <v>46030</v>
      </c>
      <c r="F3148" s="121" t="s">
        <v>68</v>
      </c>
      <c r="G3148" s="121">
        <v>306.51551999999998</v>
      </c>
      <c r="H3148" s="124">
        <v>3.6687907864999998</v>
      </c>
      <c r="I3148" s="46">
        <f>ROUNDUP(H3148/30,0)*VLOOKUP(D3148,'报价表-配送'!$B$32:$I$37,8,0)</f>
        <v>0</v>
      </c>
      <c r="J3148" s="125"/>
      <c r="K3148" s="125"/>
      <c r="L3148" s="121"/>
      <c r="M3148" s="126"/>
      <c r="N3148" s="127">
        <f t="shared" ref="N3148" si="139">SUM(I3148:L3148)</f>
        <v>0</v>
      </c>
    </row>
    <row r="3149" spans="1:14" x14ac:dyDescent="0.25">
      <c r="A3149" s="121" t="s">
        <v>81</v>
      </c>
      <c r="B3149" s="121" t="s">
        <v>159</v>
      </c>
      <c r="C3149" s="62">
        <f>VLOOKUP(B3149,合并仓明细!$D$2:$F$74,3,0)</f>
        <v>94</v>
      </c>
      <c r="D3149" s="122" t="s">
        <v>393</v>
      </c>
      <c r="E3149" s="123">
        <v>46030</v>
      </c>
      <c r="F3149" s="121" t="s">
        <v>67</v>
      </c>
      <c r="G3149" s="121">
        <v>3263.2085999999999</v>
      </c>
      <c r="H3149" s="124"/>
      <c r="I3149" s="125"/>
      <c r="J3149" s="125"/>
      <c r="K3149" s="125"/>
      <c r="L3149" s="121"/>
      <c r="M3149" s="126"/>
      <c r="N3149" s="121"/>
    </row>
    <row r="3150" spans="1:14" x14ac:dyDescent="0.25">
      <c r="A3150" s="121" t="s">
        <v>81</v>
      </c>
      <c r="B3150" s="121" t="s">
        <v>159</v>
      </c>
      <c r="C3150" s="62">
        <f>VLOOKUP(B3150,合并仓明细!$D$2:$F$74,3,0)</f>
        <v>94</v>
      </c>
      <c r="D3150" s="122" t="s">
        <v>393</v>
      </c>
      <c r="E3150" s="123">
        <v>46030</v>
      </c>
      <c r="F3150" s="121" t="s">
        <v>66</v>
      </c>
      <c r="G3150" s="121">
        <v>99.066666500000011</v>
      </c>
      <c r="H3150" s="124"/>
      <c r="I3150" s="125"/>
      <c r="J3150" s="125"/>
      <c r="K3150" s="125"/>
      <c r="L3150" s="121"/>
      <c r="M3150" s="126"/>
      <c r="N3150" s="121"/>
    </row>
    <row r="3151" spans="1:14" x14ac:dyDescent="0.25">
      <c r="A3151" s="121" t="s">
        <v>81</v>
      </c>
      <c r="B3151" s="121" t="s">
        <v>159</v>
      </c>
      <c r="C3151" s="62">
        <f>VLOOKUP(B3151,合并仓明细!$D$2:$F$74,3,0)</f>
        <v>94</v>
      </c>
      <c r="D3151" s="122" t="s">
        <v>393</v>
      </c>
      <c r="E3151" s="123">
        <v>46093</v>
      </c>
      <c r="F3151" s="121" t="s">
        <v>66</v>
      </c>
      <c r="G3151" s="121">
        <v>4.5</v>
      </c>
      <c r="H3151" s="124">
        <v>4.4999999999999997E-3</v>
      </c>
      <c r="I3151" s="125"/>
      <c r="J3151" s="125"/>
      <c r="K3151" s="125"/>
      <c r="L3151" s="37">
        <f>IF(H3151&gt;30,QUOTIENT(H3151,30)*VLOOKUP(D3151,'报价表-配送'!$B$32:$I$37,8,0),0)+IF(AND(MOD(H3151,30)&gt;18,MOD(H3151,30)&lt;=30),1,0)*VLOOKUP(D3151,'报价表-配送'!$B$32:$I$37,8,0)+IF(AND(MOD(H3151,30)&gt;8,MOD(H3151,30)&lt;=18),1*VLOOKUP(D3151,'报价表-配送'!$B$32:$I$37,7,0),0)+IF(AND(MOD(H3151,30)&lt;=8,MOD(H3151,30)&gt;2.5),1,0)*VLOOKUP(D3151,'报价表-配送'!$B$32:$I$37,6,0)+IF(AND(MOD(H3151,30)&lt;=2.5,MOD(H3151,30)&gt;=1.5),1,0)*VLOOKUP(D3151,'报价表-配送'!$B$32:$I$37,5,0)</f>
        <v>0</v>
      </c>
      <c r="M3151" s="39">
        <f>IF(AND(MOD(H3151,30)&lt;1.5,MOD(H3151,30)&gt;=0.5),H3151,0)*VLOOKUP(D3151,'报价表-配送'!$B$32:$I$37,4,0)*1000+IF(AND(MOD(H3151,30)&lt;0.5,MOD(H3151,30)&gt;=0.02),H3151,0)*VLOOKUP(D3151,'报价表-配送'!$B$32:$I$37,3,0)*1000+IF(AND(MOD(H3151,30)&lt;0.02),H3151,0)*VLOOKUP(D3151,'报价表-配送'!$B$32:$I$37,2,0)*1000</f>
        <v>0</v>
      </c>
      <c r="N3151" s="127">
        <f t="shared" ref="N3151:N3152" si="140">SUM(I3151:L3151)</f>
        <v>0</v>
      </c>
    </row>
    <row r="3152" spans="1:14" x14ac:dyDescent="0.25">
      <c r="A3152" s="121" t="s">
        <v>81</v>
      </c>
      <c r="B3152" s="121" t="s">
        <v>159</v>
      </c>
      <c r="C3152" s="62">
        <f>VLOOKUP(B3152,合并仓明细!$D$2:$F$74,3,0)</f>
        <v>94</v>
      </c>
      <c r="D3152" s="122" t="s">
        <v>393</v>
      </c>
      <c r="E3152" s="123">
        <v>46111</v>
      </c>
      <c r="F3152" s="121" t="s">
        <v>67</v>
      </c>
      <c r="G3152" s="121">
        <v>12458.34</v>
      </c>
      <c r="H3152" s="124">
        <v>12.57274</v>
      </c>
      <c r="I3152" s="38">
        <f>IF(H3152&gt;30,QUOTIENT(H3152,30)*VLOOKUP(D3152,'报价表-配送'!$B$32:$I$37,8,0),0)+IF(AND(MOD(H3152,30)&gt;18,MOD(H3152,30)&lt;=30),1,0)*VLOOKUP(D3152,'报价表-配送'!$B$32:$I$37,8,0)</f>
        <v>0</v>
      </c>
      <c r="J3152" s="38">
        <f>IF(AND(MOD(H3152,30)&gt;8,MOD(H3152,30)&lt;=18),1*VLOOKUP(D3152,'报价表-配送'!$B$32:$I$37,7,0),0)</f>
        <v>0</v>
      </c>
      <c r="K3152" s="38">
        <f>IF(AND(MOD(H3152,30)&lt;=8,MOD(H3152,30)&gt;0),1,0)*VLOOKUP(D3152,'报价表-配送'!$B$32:$I$37,6,0)</f>
        <v>0</v>
      </c>
      <c r="L3152" s="121"/>
      <c r="M3152" s="126"/>
      <c r="N3152" s="127">
        <f t="shared" si="140"/>
        <v>0</v>
      </c>
    </row>
    <row r="3153" spans="1:14" x14ac:dyDescent="0.25">
      <c r="A3153" s="121" t="s">
        <v>81</v>
      </c>
      <c r="B3153" s="121" t="s">
        <v>159</v>
      </c>
      <c r="C3153" s="62">
        <f>VLOOKUP(B3153,合并仓明细!$D$2:$F$74,3,0)</f>
        <v>94</v>
      </c>
      <c r="D3153" s="122" t="s">
        <v>393</v>
      </c>
      <c r="E3153" s="123">
        <v>46111</v>
      </c>
      <c r="F3153" s="121" t="s">
        <v>66</v>
      </c>
      <c r="G3153" s="121">
        <v>114.4</v>
      </c>
      <c r="H3153" s="124"/>
      <c r="I3153" s="125"/>
      <c r="J3153" s="125"/>
      <c r="K3153" s="125"/>
      <c r="L3153" s="121"/>
      <c r="M3153" s="126"/>
      <c r="N3153" s="121"/>
    </row>
    <row r="3154" spans="1:14" x14ac:dyDescent="0.25">
      <c r="A3154" s="121" t="s">
        <v>81</v>
      </c>
      <c r="B3154" s="121" t="s">
        <v>166</v>
      </c>
      <c r="C3154" s="62">
        <f>VLOOKUP(B3154,合并仓明细!$D$2:$F$74,3,0)</f>
        <v>220</v>
      </c>
      <c r="D3154" s="122" t="s">
        <v>414</v>
      </c>
      <c r="E3154" s="123">
        <v>45957</v>
      </c>
      <c r="F3154" s="121" t="s">
        <v>67</v>
      </c>
      <c r="G3154" s="121">
        <v>2219.4</v>
      </c>
      <c r="H3154" s="124">
        <v>3.3195999999999999</v>
      </c>
      <c r="I3154" s="38">
        <f>IF(H3154&gt;30,QUOTIENT(H3154,30)*VLOOKUP(D3154,'报价表-配送'!$B$32:$I$37,8,0),0)+IF(AND(MOD(H3154,30)&gt;18,MOD(H3154,30)&lt;=30),1,0)*VLOOKUP(D3154,'报价表-配送'!$B$32:$I$37,8,0)</f>
        <v>0</v>
      </c>
      <c r="J3154" s="38">
        <f>IF(AND(MOD(H3154,30)&gt;8,MOD(H3154,30)&lt;=18),1*VLOOKUP(D3154,'报价表-配送'!$B$32:$I$37,7,0),0)</f>
        <v>0</v>
      </c>
      <c r="K3154" s="38">
        <f>IF(AND(MOD(H3154,30)&lt;=8,MOD(H3154,30)&gt;0),1,0)*VLOOKUP(D3154,'报价表-配送'!$B$32:$I$37,6,0)</f>
        <v>0</v>
      </c>
      <c r="L3154" s="121"/>
      <c r="M3154" s="126"/>
      <c r="N3154" s="127">
        <f t="shared" ref="N3154" si="141">SUM(I3154:L3154)</f>
        <v>0</v>
      </c>
    </row>
    <row r="3155" spans="1:14" x14ac:dyDescent="0.25">
      <c r="A3155" s="121" t="s">
        <v>81</v>
      </c>
      <c r="B3155" s="121" t="s">
        <v>166</v>
      </c>
      <c r="C3155" s="62">
        <f>VLOOKUP(B3155,合并仓明细!$D$2:$F$74,3,0)</f>
        <v>220</v>
      </c>
      <c r="D3155" s="122" t="s">
        <v>414</v>
      </c>
      <c r="E3155" s="123">
        <v>45957</v>
      </c>
      <c r="F3155" s="121" t="s">
        <v>66</v>
      </c>
      <c r="G3155" s="121">
        <v>1100.1999999999998</v>
      </c>
      <c r="H3155" s="124"/>
      <c r="I3155" s="125"/>
      <c r="J3155" s="125"/>
      <c r="K3155" s="125"/>
      <c r="L3155" s="121"/>
      <c r="M3155" s="126"/>
      <c r="N3155" s="121"/>
    </row>
    <row r="3156" spans="1:14" x14ac:dyDescent="0.25">
      <c r="A3156" s="121" t="s">
        <v>81</v>
      </c>
      <c r="B3156" s="121" t="s">
        <v>166</v>
      </c>
      <c r="C3156" s="62">
        <f>VLOOKUP(B3156,合并仓明细!$D$2:$F$74,3,0)</f>
        <v>220</v>
      </c>
      <c r="D3156" s="122" t="s">
        <v>414</v>
      </c>
      <c r="E3156" s="123">
        <v>45981</v>
      </c>
      <c r="F3156" s="121" t="s">
        <v>67</v>
      </c>
      <c r="G3156" s="121">
        <v>512.40000023999994</v>
      </c>
      <c r="H3156" s="124">
        <v>1.6111500002399999</v>
      </c>
      <c r="I3156" s="38">
        <f>IF(H3156&gt;30,QUOTIENT(H3156,30)*VLOOKUP(D3156,'报价表-配送'!$B$32:$I$37,8,0),0)+IF(AND(MOD(H3156,30)&gt;18,MOD(H3156,30)&lt;=30),1,0)*VLOOKUP(D3156,'报价表-配送'!$B$32:$I$37,8,0)</f>
        <v>0</v>
      </c>
      <c r="J3156" s="38">
        <f>IF(AND(MOD(H3156,30)&gt;8,MOD(H3156,30)&lt;=18),1*VLOOKUP(D3156,'报价表-配送'!$B$32:$I$37,7,0),0)</f>
        <v>0</v>
      </c>
      <c r="K3156" s="38">
        <f>IF(AND(MOD(H3156,30)&lt;=8,MOD(H3156,30)&gt;0),1,0)*VLOOKUP(D3156,'报价表-配送'!$B$32:$I$37,6,0)</f>
        <v>0</v>
      </c>
      <c r="L3156" s="121"/>
      <c r="M3156" s="126"/>
      <c r="N3156" s="127">
        <f t="shared" ref="N3156" si="142">SUM(I3156:L3156)</f>
        <v>0</v>
      </c>
    </row>
    <row r="3157" spans="1:14" x14ac:dyDescent="0.25">
      <c r="A3157" s="121" t="s">
        <v>81</v>
      </c>
      <c r="B3157" s="121" t="s">
        <v>166</v>
      </c>
      <c r="C3157" s="62">
        <f>VLOOKUP(B3157,合并仓明细!$D$2:$F$74,3,0)</f>
        <v>220</v>
      </c>
      <c r="D3157" s="122" t="s">
        <v>414</v>
      </c>
      <c r="E3157" s="123">
        <v>45981</v>
      </c>
      <c r="F3157" s="121" t="s">
        <v>66</v>
      </c>
      <c r="G3157" s="121">
        <v>1098.75</v>
      </c>
      <c r="H3157" s="124"/>
      <c r="I3157" s="125"/>
      <c r="J3157" s="125"/>
      <c r="K3157" s="125"/>
      <c r="L3157" s="121"/>
      <c r="M3157" s="126"/>
      <c r="N3157" s="121"/>
    </row>
    <row r="3158" spans="1:14" x14ac:dyDescent="0.25">
      <c r="A3158" s="121" t="s">
        <v>81</v>
      </c>
      <c r="B3158" s="121" t="s">
        <v>166</v>
      </c>
      <c r="C3158" s="62">
        <f>VLOOKUP(B3158,合并仓明细!$D$2:$F$74,3,0)</f>
        <v>220</v>
      </c>
      <c r="D3158" s="122" t="s">
        <v>414</v>
      </c>
      <c r="E3158" s="123">
        <v>45992</v>
      </c>
      <c r="F3158" s="121" t="s">
        <v>67</v>
      </c>
      <c r="G3158" s="121">
        <v>132</v>
      </c>
      <c r="H3158" s="124">
        <v>0.78839999999999999</v>
      </c>
      <c r="I3158" s="38">
        <f>IF(H3158&gt;30,QUOTIENT(H3158,30)*VLOOKUP(D3158,'报价表-配送'!$B$32:$I$37,8,0),0)+IF(AND(MOD(H3158,30)&gt;18,MOD(H3158,30)&lt;=30),1,0)*VLOOKUP(D3158,'报价表-配送'!$B$32:$I$37,8,0)</f>
        <v>0</v>
      </c>
      <c r="J3158" s="38">
        <f>IF(AND(MOD(H3158,30)&gt;8,MOD(H3158,30)&lt;=18),1*VLOOKUP(D3158,'报价表-配送'!$B$32:$I$37,7,0),0)</f>
        <v>0</v>
      </c>
      <c r="K3158" s="38">
        <f>IF(AND(MOD(H3158,30)&lt;=8,MOD(H3158,30)&gt;0),1,0)*VLOOKUP(D3158,'报价表-配送'!$B$32:$I$37,6,0)</f>
        <v>0</v>
      </c>
      <c r="L3158" s="121"/>
      <c r="M3158" s="126"/>
      <c r="N3158" s="127">
        <f t="shared" ref="N3158" si="143">SUM(I3158:L3158)</f>
        <v>0</v>
      </c>
    </row>
    <row r="3159" spans="1:14" x14ac:dyDescent="0.25">
      <c r="A3159" s="121" t="s">
        <v>81</v>
      </c>
      <c r="B3159" s="121" t="s">
        <v>166</v>
      </c>
      <c r="C3159" s="62">
        <f>VLOOKUP(B3159,合并仓明细!$D$2:$F$74,3,0)</f>
        <v>220</v>
      </c>
      <c r="D3159" s="122" t="s">
        <v>414</v>
      </c>
      <c r="E3159" s="123">
        <v>45992</v>
      </c>
      <c r="F3159" s="121" t="s">
        <v>66</v>
      </c>
      <c r="G3159" s="121">
        <v>656.4</v>
      </c>
      <c r="H3159" s="124"/>
      <c r="I3159" s="125"/>
      <c r="J3159" s="125"/>
      <c r="K3159" s="125"/>
      <c r="L3159" s="121"/>
      <c r="M3159" s="126"/>
      <c r="N3159" s="121"/>
    </row>
    <row r="3160" spans="1:14" x14ac:dyDescent="0.25">
      <c r="A3160" s="121" t="s">
        <v>81</v>
      </c>
      <c r="B3160" s="121" t="s">
        <v>166</v>
      </c>
      <c r="C3160" s="62">
        <f>VLOOKUP(B3160,合并仓明细!$D$2:$F$74,3,0)</f>
        <v>220</v>
      </c>
      <c r="D3160" s="122" t="s">
        <v>414</v>
      </c>
      <c r="E3160" s="123">
        <v>46052</v>
      </c>
      <c r="F3160" s="121" t="s">
        <v>66</v>
      </c>
      <c r="G3160" s="121">
        <v>6895.05</v>
      </c>
      <c r="H3160" s="124">
        <v>6.8950500000000003</v>
      </c>
      <c r="I3160" s="125"/>
      <c r="J3160" s="125"/>
      <c r="K3160" s="125"/>
      <c r="L3160" s="37">
        <f>IF(H3160&gt;30,QUOTIENT(H3160,30)*VLOOKUP(D3160,'报价表-配送'!$B$32:$I$37,8,0),0)+IF(AND(MOD(H3160,30)&gt;18,MOD(H3160,30)&lt;=30),1,0)*VLOOKUP(D3160,'报价表-配送'!$B$32:$I$37,8,0)+IF(AND(MOD(H3160,30)&gt;8,MOD(H3160,30)&lt;=18),1*VLOOKUP(D3160,'报价表-配送'!$B$32:$I$37,7,0),0)+IF(AND(MOD(H3160,30)&lt;=8,MOD(H3160,30)&gt;2.5),1,0)*VLOOKUP(D3160,'报价表-配送'!$B$32:$I$37,6,0)+IF(AND(MOD(H3160,30)&lt;=2.5,MOD(H3160,30)&gt;=1.5),1,0)*VLOOKUP(D3160,'报价表-配送'!$B$32:$I$37,5,0)</f>
        <v>0</v>
      </c>
      <c r="M3160" s="39">
        <f>IF(AND(MOD(H3160,30)&lt;1.5,MOD(H3160,30)&gt;=0.5),H3160,0)*VLOOKUP(D3160,'报价表-配送'!$B$32:$I$37,4,0)*1000+IF(AND(MOD(H3160,30)&lt;0.5,MOD(H3160,30)&gt;=0.02),H3160,0)*VLOOKUP(D3160,'报价表-配送'!$B$32:$I$37,3,0)*1000+IF(AND(MOD(H3160,30)&lt;0.02),H3160,0)*VLOOKUP(D3160,'报价表-配送'!$B$32:$I$37,2,0)*1000</f>
        <v>0</v>
      </c>
      <c r="N3160" s="127">
        <f t="shared" ref="N3160:N3162" si="144">SUM(I3160:L3160)</f>
        <v>0</v>
      </c>
    </row>
    <row r="3161" spans="1:14" x14ac:dyDescent="0.25">
      <c r="A3161" s="121" t="s">
        <v>81</v>
      </c>
      <c r="B3161" s="121" t="s">
        <v>160</v>
      </c>
      <c r="C3161" s="62">
        <f>VLOOKUP(B3161,合并仓明细!$D$2:$F$74,3,0)</f>
        <v>130</v>
      </c>
      <c r="D3161" s="122" t="s">
        <v>413</v>
      </c>
      <c r="E3161" s="123">
        <v>45940</v>
      </c>
      <c r="F3161" s="121" t="s">
        <v>66</v>
      </c>
      <c r="G3161" s="121">
        <v>130.70000010000001</v>
      </c>
      <c r="H3161" s="124">
        <v>0.13070000010000002</v>
      </c>
      <c r="I3161" s="125"/>
      <c r="J3161" s="125"/>
      <c r="K3161" s="125"/>
      <c r="L3161" s="37">
        <f>IF(H3161&gt;30,QUOTIENT(H3161,30)*VLOOKUP(D3161,'报价表-配送'!$B$32:$I$37,8,0),0)+IF(AND(MOD(H3161,30)&gt;18,MOD(H3161,30)&lt;=30),1,0)*VLOOKUP(D3161,'报价表-配送'!$B$32:$I$37,8,0)+IF(AND(MOD(H3161,30)&gt;8,MOD(H3161,30)&lt;=18),1*VLOOKUP(D3161,'报价表-配送'!$B$32:$I$37,7,0),0)+IF(AND(MOD(H3161,30)&lt;=8,MOD(H3161,30)&gt;2.5),1,0)*VLOOKUP(D3161,'报价表-配送'!$B$32:$I$37,6,0)+IF(AND(MOD(H3161,30)&lt;=2.5,MOD(H3161,30)&gt;=1.5),1,0)*VLOOKUP(D3161,'报价表-配送'!$B$32:$I$37,5,0)</f>
        <v>0</v>
      </c>
      <c r="M3161" s="39">
        <f>IF(AND(MOD(H3161,30)&lt;1.5,MOD(H3161,30)&gt;=0.5),H3161,0)*VLOOKUP(D3161,'报价表-配送'!$B$32:$I$37,4,0)*1000+IF(AND(MOD(H3161,30)&lt;0.5,MOD(H3161,30)&gt;=0.02),H3161,0)*VLOOKUP(D3161,'报价表-配送'!$B$32:$I$37,3,0)*1000+IF(AND(MOD(H3161,30)&lt;0.02),H3161,0)*VLOOKUP(D3161,'报价表-配送'!$B$32:$I$37,2,0)*1000</f>
        <v>0</v>
      </c>
      <c r="N3161" s="127">
        <f t="shared" si="144"/>
        <v>0</v>
      </c>
    </row>
    <row r="3162" spans="1:14" x14ac:dyDescent="0.25">
      <c r="A3162" s="121" t="s">
        <v>81</v>
      </c>
      <c r="B3162" s="121" t="s">
        <v>160</v>
      </c>
      <c r="C3162" s="62">
        <f>VLOOKUP(B3162,合并仓明细!$D$2:$F$74,3,0)</f>
        <v>130</v>
      </c>
      <c r="D3162" s="122" t="s">
        <v>413</v>
      </c>
      <c r="E3162" s="123">
        <v>45957</v>
      </c>
      <c r="F3162" s="121" t="s">
        <v>68</v>
      </c>
      <c r="G3162" s="121">
        <v>232.41600000000003</v>
      </c>
      <c r="H3162" s="124">
        <v>9.8717053608099992</v>
      </c>
      <c r="I3162" s="46">
        <f>ROUNDUP(H3162/30,0)*VLOOKUP(D3162,'报价表-配送'!$B$32:$I$37,8,0)</f>
        <v>0</v>
      </c>
      <c r="J3162" s="125"/>
      <c r="K3162" s="125"/>
      <c r="L3162" s="121"/>
      <c r="M3162" s="126"/>
      <c r="N3162" s="127">
        <f t="shared" si="144"/>
        <v>0</v>
      </c>
    </row>
    <row r="3163" spans="1:14" x14ac:dyDescent="0.25">
      <c r="A3163" s="121" t="s">
        <v>81</v>
      </c>
      <c r="B3163" s="121" t="s">
        <v>160</v>
      </c>
      <c r="C3163" s="62">
        <f>VLOOKUP(B3163,合并仓明细!$D$2:$F$74,3,0)</f>
        <v>130</v>
      </c>
      <c r="D3163" s="122" t="s">
        <v>413</v>
      </c>
      <c r="E3163" s="123">
        <v>45957</v>
      </c>
      <c r="F3163" s="121" t="s">
        <v>67</v>
      </c>
      <c r="G3163" s="121">
        <v>9353.8826939999999</v>
      </c>
      <c r="H3163" s="124"/>
      <c r="I3163" s="125"/>
      <c r="J3163" s="125"/>
      <c r="K3163" s="125"/>
      <c r="L3163" s="121"/>
      <c r="M3163" s="126"/>
      <c r="N3163" s="121"/>
    </row>
    <row r="3164" spans="1:14" x14ac:dyDescent="0.25">
      <c r="A3164" s="121" t="s">
        <v>81</v>
      </c>
      <c r="B3164" s="121" t="s">
        <v>160</v>
      </c>
      <c r="C3164" s="62">
        <f>VLOOKUP(B3164,合并仓明细!$D$2:$F$74,3,0)</f>
        <v>130</v>
      </c>
      <c r="D3164" s="122" t="s">
        <v>413</v>
      </c>
      <c r="E3164" s="123">
        <v>45957</v>
      </c>
      <c r="F3164" s="121" t="s">
        <v>66</v>
      </c>
      <c r="G3164" s="121">
        <v>285.40666680999999</v>
      </c>
      <c r="H3164" s="124"/>
      <c r="I3164" s="125"/>
      <c r="J3164" s="125"/>
      <c r="K3164" s="125"/>
      <c r="L3164" s="121"/>
      <c r="M3164" s="126"/>
      <c r="N3164" s="121"/>
    </row>
    <row r="3165" spans="1:14" x14ac:dyDescent="0.25">
      <c r="A3165" s="121" t="s">
        <v>81</v>
      </c>
      <c r="B3165" s="121" t="s">
        <v>160</v>
      </c>
      <c r="C3165" s="62">
        <f>VLOOKUP(B3165,合并仓明细!$D$2:$F$74,3,0)</f>
        <v>130</v>
      </c>
      <c r="D3165" s="122" t="s">
        <v>413</v>
      </c>
      <c r="E3165" s="123">
        <v>45973</v>
      </c>
      <c r="F3165" s="121" t="s">
        <v>66</v>
      </c>
      <c r="G3165" s="121">
        <v>413.95</v>
      </c>
      <c r="H3165" s="124">
        <v>0.41394999999999998</v>
      </c>
      <c r="I3165" s="125"/>
      <c r="J3165" s="125"/>
      <c r="K3165" s="125"/>
      <c r="L3165" s="37">
        <f>IF(H3165&gt;30,QUOTIENT(H3165,30)*VLOOKUP(D3165,'报价表-配送'!$B$32:$I$37,8,0),0)+IF(AND(MOD(H3165,30)&gt;18,MOD(H3165,30)&lt;=30),1,0)*VLOOKUP(D3165,'报价表-配送'!$B$32:$I$37,8,0)+IF(AND(MOD(H3165,30)&gt;8,MOD(H3165,30)&lt;=18),1*VLOOKUP(D3165,'报价表-配送'!$B$32:$I$37,7,0),0)+IF(AND(MOD(H3165,30)&lt;=8,MOD(H3165,30)&gt;2.5),1,0)*VLOOKUP(D3165,'报价表-配送'!$B$32:$I$37,6,0)+IF(AND(MOD(H3165,30)&lt;=2.5,MOD(H3165,30)&gt;=1.5),1,0)*VLOOKUP(D3165,'报价表-配送'!$B$32:$I$37,5,0)</f>
        <v>0</v>
      </c>
      <c r="M3165" s="39">
        <f>IF(AND(MOD(H3165,30)&lt;1.5,MOD(H3165,30)&gt;=0.5),H3165,0)*VLOOKUP(D3165,'报价表-配送'!$B$32:$I$37,4,0)*1000+IF(AND(MOD(H3165,30)&lt;0.5,MOD(H3165,30)&gt;=0.02),H3165,0)*VLOOKUP(D3165,'报价表-配送'!$B$32:$I$37,3,0)*1000+IF(AND(MOD(H3165,30)&lt;0.02),H3165,0)*VLOOKUP(D3165,'报价表-配送'!$B$32:$I$37,2,0)*1000</f>
        <v>0</v>
      </c>
      <c r="N3165" s="127">
        <f t="shared" ref="N3165:N3167" si="145">SUM(I3165:L3165)</f>
        <v>0</v>
      </c>
    </row>
    <row r="3166" spans="1:14" x14ac:dyDescent="0.25">
      <c r="A3166" s="121" t="s">
        <v>81</v>
      </c>
      <c r="B3166" s="121" t="s">
        <v>160</v>
      </c>
      <c r="C3166" s="62">
        <f>VLOOKUP(B3166,合并仓明细!$D$2:$F$74,3,0)</f>
        <v>130</v>
      </c>
      <c r="D3166" s="122" t="s">
        <v>413</v>
      </c>
      <c r="E3166" s="123">
        <v>45979</v>
      </c>
      <c r="F3166" s="121" t="s">
        <v>66</v>
      </c>
      <c r="G3166" s="121">
        <v>301.60333333</v>
      </c>
      <c r="H3166" s="124">
        <v>0.30160333333</v>
      </c>
      <c r="I3166" s="125"/>
      <c r="J3166" s="125"/>
      <c r="K3166" s="125"/>
      <c r="L3166" s="37">
        <f>IF(H3166&gt;30,QUOTIENT(H3166,30)*VLOOKUP(D3166,'报价表-配送'!$B$32:$I$37,8,0),0)+IF(AND(MOD(H3166,30)&gt;18,MOD(H3166,30)&lt;=30),1,0)*VLOOKUP(D3166,'报价表-配送'!$B$32:$I$37,8,0)+IF(AND(MOD(H3166,30)&gt;8,MOD(H3166,30)&lt;=18),1*VLOOKUP(D3166,'报价表-配送'!$B$32:$I$37,7,0),0)+IF(AND(MOD(H3166,30)&lt;=8,MOD(H3166,30)&gt;2.5),1,0)*VLOOKUP(D3166,'报价表-配送'!$B$32:$I$37,6,0)+IF(AND(MOD(H3166,30)&lt;=2.5,MOD(H3166,30)&gt;=1.5),1,0)*VLOOKUP(D3166,'报价表-配送'!$B$32:$I$37,5,0)</f>
        <v>0</v>
      </c>
      <c r="M3166" s="39">
        <f>IF(AND(MOD(H3166,30)&lt;1.5,MOD(H3166,30)&gt;=0.5),H3166,0)*VLOOKUP(D3166,'报价表-配送'!$B$32:$I$37,4,0)*1000+IF(AND(MOD(H3166,30)&lt;0.5,MOD(H3166,30)&gt;=0.02),H3166,0)*VLOOKUP(D3166,'报价表-配送'!$B$32:$I$37,3,0)*1000+IF(AND(MOD(H3166,30)&lt;0.02),H3166,0)*VLOOKUP(D3166,'报价表-配送'!$B$32:$I$37,2,0)*1000</f>
        <v>0</v>
      </c>
      <c r="N3166" s="127">
        <f t="shared" si="145"/>
        <v>0</v>
      </c>
    </row>
    <row r="3167" spans="1:14" x14ac:dyDescent="0.25">
      <c r="A3167" s="121" t="s">
        <v>81</v>
      </c>
      <c r="B3167" s="121" t="s">
        <v>160</v>
      </c>
      <c r="C3167" s="62">
        <f>VLOOKUP(B3167,合并仓明细!$D$2:$F$74,3,0)</f>
        <v>130</v>
      </c>
      <c r="D3167" s="122" t="s">
        <v>413</v>
      </c>
      <c r="E3167" s="123">
        <v>45999</v>
      </c>
      <c r="F3167" s="121" t="s">
        <v>67</v>
      </c>
      <c r="G3167" s="121">
        <v>8250.1164000000008</v>
      </c>
      <c r="H3167" s="124">
        <v>10.8179964</v>
      </c>
      <c r="I3167" s="38">
        <f>IF(H3167&gt;30,QUOTIENT(H3167,30)*VLOOKUP(D3167,'报价表-配送'!$B$32:$I$37,8,0),0)+IF(AND(MOD(H3167,30)&gt;18,MOD(H3167,30)&lt;=30),1,0)*VLOOKUP(D3167,'报价表-配送'!$B$32:$I$37,8,0)</f>
        <v>0</v>
      </c>
      <c r="J3167" s="38">
        <f>IF(AND(MOD(H3167,30)&gt;8,MOD(H3167,30)&lt;=18),1*VLOOKUP(D3167,'报价表-配送'!$B$32:$I$37,7,0),0)</f>
        <v>0</v>
      </c>
      <c r="K3167" s="38">
        <f>IF(AND(MOD(H3167,30)&lt;=8,MOD(H3167,30)&gt;0),1,0)*VLOOKUP(D3167,'报价表-配送'!$B$32:$I$37,6,0)</f>
        <v>0</v>
      </c>
      <c r="L3167" s="121"/>
      <c r="M3167" s="126"/>
      <c r="N3167" s="127">
        <f t="shared" si="145"/>
        <v>0</v>
      </c>
    </row>
    <row r="3168" spans="1:14" x14ac:dyDescent="0.25">
      <c r="A3168" s="121" t="s">
        <v>81</v>
      </c>
      <c r="B3168" s="121" t="s">
        <v>160</v>
      </c>
      <c r="C3168" s="62">
        <f>VLOOKUP(B3168,合并仓明细!$D$2:$F$74,3,0)</f>
        <v>130</v>
      </c>
      <c r="D3168" s="122" t="s">
        <v>413</v>
      </c>
      <c r="E3168" s="123">
        <v>45999</v>
      </c>
      <c r="F3168" s="121" t="s">
        <v>66</v>
      </c>
      <c r="G3168" s="121">
        <v>2567.88</v>
      </c>
      <c r="H3168" s="124"/>
      <c r="I3168" s="125"/>
      <c r="J3168" s="125"/>
      <c r="K3168" s="125"/>
      <c r="L3168" s="121"/>
      <c r="M3168" s="126"/>
      <c r="N3168" s="121"/>
    </row>
    <row r="3169" spans="1:14" x14ac:dyDescent="0.25">
      <c r="A3169" s="121" t="s">
        <v>81</v>
      </c>
      <c r="B3169" s="121" t="s">
        <v>160</v>
      </c>
      <c r="C3169" s="62">
        <f>VLOOKUP(B3169,合并仓明细!$D$2:$F$74,3,0)</f>
        <v>130</v>
      </c>
      <c r="D3169" s="122" t="s">
        <v>413</v>
      </c>
      <c r="E3169" s="123">
        <v>46105</v>
      </c>
      <c r="F3169" s="121" t="s">
        <v>68</v>
      </c>
      <c r="G3169" s="121">
        <v>1209.86736</v>
      </c>
      <c r="H3169" s="124">
        <v>1.2759319432099998</v>
      </c>
      <c r="I3169" s="46">
        <f>ROUNDUP(H3169/30,0)*VLOOKUP(D3169,'报价表-配送'!$B$32:$I$37,8,0)</f>
        <v>0</v>
      </c>
      <c r="J3169" s="125"/>
      <c r="K3169" s="125"/>
      <c r="L3169" s="121"/>
      <c r="M3169" s="126"/>
      <c r="N3169" s="127">
        <f t="shared" ref="N3169" si="146">SUM(I3169:L3169)</f>
        <v>0</v>
      </c>
    </row>
    <row r="3170" spans="1:14" x14ac:dyDescent="0.25">
      <c r="A3170" s="121" t="s">
        <v>81</v>
      </c>
      <c r="B3170" s="121" t="s">
        <v>160</v>
      </c>
      <c r="C3170" s="62">
        <f>VLOOKUP(B3170,合并仓明细!$D$2:$F$74,3,0)</f>
        <v>130</v>
      </c>
      <c r="D3170" s="122" t="s">
        <v>413</v>
      </c>
      <c r="E3170" s="123">
        <v>46105</v>
      </c>
      <c r="F3170" s="121" t="s">
        <v>66</v>
      </c>
      <c r="G3170" s="121">
        <v>66.064583209999981</v>
      </c>
      <c r="H3170" s="124"/>
      <c r="I3170" s="125"/>
      <c r="J3170" s="125"/>
      <c r="K3170" s="125"/>
      <c r="L3170" s="121"/>
      <c r="M3170" s="126"/>
      <c r="N3170" s="121"/>
    </row>
    <row r="3171" spans="1:14" x14ac:dyDescent="0.25">
      <c r="A3171" s="121" t="s">
        <v>81</v>
      </c>
      <c r="B3171" s="121" t="s">
        <v>161</v>
      </c>
      <c r="C3171" s="62">
        <f>VLOOKUP(B3171,合并仓明细!$D$2:$F$74,3,0)</f>
        <v>381</v>
      </c>
      <c r="D3171" s="122" t="s">
        <v>410</v>
      </c>
      <c r="E3171" s="123">
        <v>45947</v>
      </c>
      <c r="F3171" s="121" t="s">
        <v>68</v>
      </c>
      <c r="G3171" s="121">
        <v>3074.0484000000001</v>
      </c>
      <c r="H3171" s="124">
        <v>7.5820334472900006</v>
      </c>
      <c r="I3171" s="46">
        <f>ROUNDUP(H3171/30,0)*VLOOKUP(D3171,'报价表-配送'!$B$32:$I$37,8,0)</f>
        <v>0</v>
      </c>
      <c r="J3171" s="125"/>
      <c r="K3171" s="125"/>
      <c r="L3171" s="121"/>
      <c r="M3171" s="126"/>
      <c r="N3171" s="127">
        <f t="shared" ref="N3171" si="147">SUM(I3171:L3171)</f>
        <v>0</v>
      </c>
    </row>
    <row r="3172" spans="1:14" x14ac:dyDescent="0.25">
      <c r="A3172" s="121" t="s">
        <v>81</v>
      </c>
      <c r="B3172" s="121" t="s">
        <v>161</v>
      </c>
      <c r="C3172" s="62">
        <f>VLOOKUP(B3172,合并仓明细!$D$2:$F$74,3,0)</f>
        <v>381</v>
      </c>
      <c r="D3172" s="122" t="s">
        <v>410</v>
      </c>
      <c r="E3172" s="123">
        <v>45947</v>
      </c>
      <c r="F3172" s="121" t="s">
        <v>67</v>
      </c>
      <c r="G3172" s="121">
        <v>3077.8692140000003</v>
      </c>
      <c r="H3172" s="124"/>
      <c r="I3172" s="125"/>
      <c r="J3172" s="125"/>
      <c r="K3172" s="125"/>
      <c r="L3172" s="121"/>
      <c r="M3172" s="126"/>
      <c r="N3172" s="121"/>
    </row>
    <row r="3173" spans="1:14" x14ac:dyDescent="0.25">
      <c r="A3173" s="121" t="s">
        <v>81</v>
      </c>
      <c r="B3173" s="121" t="s">
        <v>161</v>
      </c>
      <c r="C3173" s="62">
        <f>VLOOKUP(B3173,合并仓明细!$D$2:$F$74,3,0)</f>
        <v>381</v>
      </c>
      <c r="D3173" s="122" t="s">
        <v>410</v>
      </c>
      <c r="E3173" s="123">
        <v>45947</v>
      </c>
      <c r="F3173" s="121" t="s">
        <v>66</v>
      </c>
      <c r="G3173" s="121">
        <v>1430.1158332900002</v>
      </c>
      <c r="H3173" s="124"/>
      <c r="I3173" s="125"/>
      <c r="J3173" s="125"/>
      <c r="K3173" s="125"/>
      <c r="L3173" s="121"/>
      <c r="M3173" s="126"/>
      <c r="N3173" s="121"/>
    </row>
    <row r="3174" spans="1:14" x14ac:dyDescent="0.25">
      <c r="A3174" s="121" t="s">
        <v>81</v>
      </c>
      <c r="B3174" s="121" t="s">
        <v>161</v>
      </c>
      <c r="C3174" s="62">
        <f>VLOOKUP(B3174,合并仓明细!$D$2:$F$74,3,0)</f>
        <v>381</v>
      </c>
      <c r="D3174" s="122" t="s">
        <v>410</v>
      </c>
      <c r="E3174" s="123">
        <v>45978</v>
      </c>
      <c r="F3174" s="121" t="s">
        <v>67</v>
      </c>
      <c r="G3174" s="121">
        <v>6274.6472659999999</v>
      </c>
      <c r="H3174" s="124">
        <v>6.7393322659900008</v>
      </c>
      <c r="I3174" s="38">
        <f>IF(H3174&gt;30,QUOTIENT(H3174,30)*VLOOKUP(D3174,'报价表-配送'!$B$32:$I$37,8,0),0)+IF(AND(MOD(H3174,30)&gt;18,MOD(H3174,30)&lt;=30),1,0)*VLOOKUP(D3174,'报价表-配送'!$B$32:$I$37,8,0)</f>
        <v>0</v>
      </c>
      <c r="J3174" s="38">
        <f>IF(AND(MOD(H3174,30)&gt;8,MOD(H3174,30)&lt;=18),1*VLOOKUP(D3174,'报价表-配送'!$B$32:$I$37,7,0),0)</f>
        <v>0</v>
      </c>
      <c r="K3174" s="38">
        <f>IF(AND(MOD(H3174,30)&lt;=8,MOD(H3174,30)&gt;0),1,0)*VLOOKUP(D3174,'报价表-配送'!$B$32:$I$37,6,0)</f>
        <v>0</v>
      </c>
      <c r="L3174" s="121"/>
      <c r="M3174" s="126"/>
      <c r="N3174" s="127">
        <f t="shared" ref="N3174" si="148">SUM(I3174:L3174)</f>
        <v>0</v>
      </c>
    </row>
    <row r="3175" spans="1:14" x14ac:dyDescent="0.25">
      <c r="A3175" s="121" t="s">
        <v>81</v>
      </c>
      <c r="B3175" s="121" t="s">
        <v>161</v>
      </c>
      <c r="C3175" s="62">
        <f>VLOOKUP(B3175,合并仓明细!$D$2:$F$74,3,0)</f>
        <v>381</v>
      </c>
      <c r="D3175" s="122" t="s">
        <v>410</v>
      </c>
      <c r="E3175" s="123">
        <v>45978</v>
      </c>
      <c r="F3175" s="121" t="s">
        <v>66</v>
      </c>
      <c r="G3175" s="121">
        <v>464.68499999000005</v>
      </c>
      <c r="H3175" s="124"/>
      <c r="I3175" s="125"/>
      <c r="J3175" s="125"/>
      <c r="K3175" s="125"/>
      <c r="L3175" s="121"/>
      <c r="M3175" s="126"/>
      <c r="N3175" s="121"/>
    </row>
    <row r="3176" spans="1:14" x14ac:dyDescent="0.25">
      <c r="A3176" s="121" t="s">
        <v>81</v>
      </c>
      <c r="B3176" s="121" t="s">
        <v>161</v>
      </c>
      <c r="C3176" s="62">
        <f>VLOOKUP(B3176,合并仓明细!$D$2:$F$74,3,0)</f>
        <v>381</v>
      </c>
      <c r="D3176" s="122" t="s">
        <v>410</v>
      </c>
      <c r="E3176" s="123">
        <v>46028</v>
      </c>
      <c r="F3176" s="121" t="s">
        <v>66</v>
      </c>
      <c r="G3176" s="121">
        <v>1170</v>
      </c>
      <c r="H3176" s="124">
        <v>1.17</v>
      </c>
      <c r="I3176" s="125"/>
      <c r="J3176" s="125"/>
      <c r="K3176" s="125"/>
      <c r="L3176" s="37">
        <f>IF(H3176&gt;30,QUOTIENT(H3176,30)*VLOOKUP(D3176,'报价表-配送'!$B$32:$I$37,8,0),0)+IF(AND(MOD(H3176,30)&gt;18,MOD(H3176,30)&lt;=30),1,0)*VLOOKUP(D3176,'报价表-配送'!$B$32:$I$37,8,0)+IF(AND(MOD(H3176,30)&gt;8,MOD(H3176,30)&lt;=18),1*VLOOKUP(D3176,'报价表-配送'!$B$32:$I$37,7,0),0)+IF(AND(MOD(H3176,30)&lt;=8,MOD(H3176,30)&gt;2.5),1,0)*VLOOKUP(D3176,'报价表-配送'!$B$32:$I$37,6,0)+IF(AND(MOD(H3176,30)&lt;=2.5,MOD(H3176,30)&gt;=1.5),1,0)*VLOOKUP(D3176,'报价表-配送'!$B$32:$I$37,5,0)</f>
        <v>0</v>
      </c>
      <c r="M3176" s="39">
        <f>IF(AND(MOD(H3176,30)&lt;1.5,MOD(H3176,30)&gt;=0.5),H3176,0)*VLOOKUP(D3176,'报价表-配送'!$B$32:$I$37,4,0)*1000+IF(AND(MOD(H3176,30)&lt;0.5,MOD(H3176,30)&gt;=0.02),H3176,0)*VLOOKUP(D3176,'报价表-配送'!$B$32:$I$37,3,0)*1000+IF(AND(MOD(H3176,30)&lt;0.02),H3176,0)*VLOOKUP(D3176,'报价表-配送'!$B$32:$I$37,2,0)*1000</f>
        <v>0</v>
      </c>
      <c r="N3176" s="127">
        <f t="shared" ref="N3176:N3178" si="149">SUM(I3176:L3176)</f>
        <v>0</v>
      </c>
    </row>
    <row r="3177" spans="1:14" x14ac:dyDescent="0.25">
      <c r="A3177" s="121" t="s">
        <v>81</v>
      </c>
      <c r="B3177" s="121" t="s">
        <v>161</v>
      </c>
      <c r="C3177" s="62">
        <f>VLOOKUP(B3177,合并仓明细!$D$2:$F$74,3,0)</f>
        <v>381</v>
      </c>
      <c r="D3177" s="122" t="s">
        <v>410</v>
      </c>
      <c r="E3177" s="123">
        <v>46038</v>
      </c>
      <c r="F3177" s="121" t="s">
        <v>66</v>
      </c>
      <c r="G3177" s="121">
        <v>94.2</v>
      </c>
      <c r="H3177" s="124">
        <v>9.4200000000000006E-2</v>
      </c>
      <c r="I3177" s="125"/>
      <c r="J3177" s="125"/>
      <c r="K3177" s="125"/>
      <c r="L3177" s="37">
        <f>IF(H3177&gt;30,QUOTIENT(H3177,30)*VLOOKUP(D3177,'报价表-配送'!$B$32:$I$37,8,0),0)+IF(AND(MOD(H3177,30)&gt;18,MOD(H3177,30)&lt;=30),1,0)*VLOOKUP(D3177,'报价表-配送'!$B$32:$I$37,8,0)+IF(AND(MOD(H3177,30)&gt;8,MOD(H3177,30)&lt;=18),1*VLOOKUP(D3177,'报价表-配送'!$B$32:$I$37,7,0),0)+IF(AND(MOD(H3177,30)&lt;=8,MOD(H3177,30)&gt;2.5),1,0)*VLOOKUP(D3177,'报价表-配送'!$B$32:$I$37,6,0)+IF(AND(MOD(H3177,30)&lt;=2.5,MOD(H3177,30)&gt;=1.5),1,0)*VLOOKUP(D3177,'报价表-配送'!$B$32:$I$37,5,0)</f>
        <v>0</v>
      </c>
      <c r="M3177" s="39">
        <f>IF(AND(MOD(H3177,30)&lt;1.5,MOD(H3177,30)&gt;=0.5),H3177,0)*VLOOKUP(D3177,'报价表-配送'!$B$32:$I$37,4,0)*1000+IF(AND(MOD(H3177,30)&lt;0.5,MOD(H3177,30)&gt;=0.02),H3177,0)*VLOOKUP(D3177,'报价表-配送'!$B$32:$I$37,3,0)*1000+IF(AND(MOD(H3177,30)&lt;0.02),H3177,0)*VLOOKUP(D3177,'报价表-配送'!$B$32:$I$37,2,0)*1000</f>
        <v>0</v>
      </c>
      <c r="N3177" s="127">
        <f t="shared" si="149"/>
        <v>0</v>
      </c>
    </row>
    <row r="3178" spans="1:14" x14ac:dyDescent="0.25">
      <c r="A3178" s="121" t="s">
        <v>81</v>
      </c>
      <c r="B3178" s="121" t="s">
        <v>163</v>
      </c>
      <c r="C3178" s="62">
        <f>VLOOKUP(B3178,合并仓明细!$D$2:$F$74,3,0)</f>
        <v>115</v>
      </c>
      <c r="D3178" s="122" t="s">
        <v>413</v>
      </c>
      <c r="E3178" s="123">
        <v>46032</v>
      </c>
      <c r="F3178" s="121" t="s">
        <v>67</v>
      </c>
      <c r="G3178" s="121">
        <v>320.38847999999996</v>
      </c>
      <c r="H3178" s="124">
        <v>2.6912734800000004</v>
      </c>
      <c r="I3178" s="38">
        <f>IF(H3178&gt;30,QUOTIENT(H3178,30)*VLOOKUP(D3178,'报价表-配送'!$B$32:$I$37,8,0),0)+IF(AND(MOD(H3178,30)&gt;18,MOD(H3178,30)&lt;=30),1,0)*VLOOKUP(D3178,'报价表-配送'!$B$32:$I$37,8,0)</f>
        <v>0</v>
      </c>
      <c r="J3178" s="38">
        <f>IF(AND(MOD(H3178,30)&gt;8,MOD(H3178,30)&lt;=18),1*VLOOKUP(D3178,'报价表-配送'!$B$32:$I$37,7,0),0)</f>
        <v>0</v>
      </c>
      <c r="K3178" s="38">
        <f>IF(AND(MOD(H3178,30)&lt;=8,MOD(H3178,30)&gt;0),1,0)*VLOOKUP(D3178,'报价表-配送'!$B$32:$I$37,6,0)</f>
        <v>0</v>
      </c>
      <c r="L3178" s="121"/>
      <c r="M3178" s="126"/>
      <c r="N3178" s="127">
        <f t="shared" si="149"/>
        <v>0</v>
      </c>
    </row>
    <row r="3179" spans="1:14" x14ac:dyDescent="0.25">
      <c r="A3179" s="121" t="s">
        <v>81</v>
      </c>
      <c r="B3179" s="121" t="s">
        <v>163</v>
      </c>
      <c r="C3179" s="62">
        <f>VLOOKUP(B3179,合并仓明细!$D$2:$F$74,3,0)</f>
        <v>115</v>
      </c>
      <c r="D3179" s="122" t="s">
        <v>413</v>
      </c>
      <c r="E3179" s="123">
        <v>46032</v>
      </c>
      <c r="F3179" s="121" t="s">
        <v>66</v>
      </c>
      <c r="G3179" s="121">
        <v>2370.8850000000002</v>
      </c>
      <c r="H3179" s="124"/>
      <c r="I3179" s="125"/>
      <c r="J3179" s="125"/>
      <c r="K3179" s="125"/>
      <c r="L3179" s="121"/>
      <c r="M3179" s="126"/>
      <c r="N3179" s="121"/>
    </row>
    <row r="3180" spans="1:14" x14ac:dyDescent="0.25">
      <c r="A3180" s="121" t="s">
        <v>81</v>
      </c>
      <c r="B3180" s="121" t="s">
        <v>163</v>
      </c>
      <c r="C3180" s="62">
        <f>VLOOKUP(B3180,合并仓明细!$D$2:$F$74,3,0)</f>
        <v>115</v>
      </c>
      <c r="D3180" s="122" t="s">
        <v>413</v>
      </c>
      <c r="E3180" s="123">
        <v>46063</v>
      </c>
      <c r="F3180" s="121" t="s">
        <v>66</v>
      </c>
      <c r="G3180" s="121">
        <v>204.99999999999997</v>
      </c>
      <c r="H3180" s="124">
        <v>0.20499999999999996</v>
      </c>
      <c r="I3180" s="125"/>
      <c r="J3180" s="125"/>
      <c r="K3180" s="125"/>
      <c r="L3180" s="37">
        <f>IF(H3180&gt;30,QUOTIENT(H3180,30)*VLOOKUP(D3180,'报价表-配送'!$B$32:$I$37,8,0),0)+IF(AND(MOD(H3180,30)&gt;18,MOD(H3180,30)&lt;=30),1,0)*VLOOKUP(D3180,'报价表-配送'!$B$32:$I$37,8,0)+IF(AND(MOD(H3180,30)&gt;8,MOD(H3180,30)&lt;=18),1*VLOOKUP(D3180,'报价表-配送'!$B$32:$I$37,7,0),0)+IF(AND(MOD(H3180,30)&lt;=8,MOD(H3180,30)&gt;2.5),1,0)*VLOOKUP(D3180,'报价表-配送'!$B$32:$I$37,6,0)+IF(AND(MOD(H3180,30)&lt;=2.5,MOD(H3180,30)&gt;=1.5),1,0)*VLOOKUP(D3180,'报价表-配送'!$B$32:$I$37,5,0)</f>
        <v>0</v>
      </c>
      <c r="M3180" s="39">
        <f>IF(AND(MOD(H3180,30)&lt;1.5,MOD(H3180,30)&gt;=0.5),H3180,0)*VLOOKUP(D3180,'报价表-配送'!$B$32:$I$37,4,0)*1000+IF(AND(MOD(H3180,30)&lt;0.5,MOD(H3180,30)&gt;=0.02),H3180,0)*VLOOKUP(D3180,'报价表-配送'!$B$32:$I$37,3,0)*1000+IF(AND(MOD(H3180,30)&lt;0.02),H3180,0)*VLOOKUP(D3180,'报价表-配送'!$B$32:$I$37,2,0)*1000</f>
        <v>0</v>
      </c>
      <c r="N3180" s="127">
        <f t="shared" ref="N3180:N3184" si="150">SUM(I3180:L3180)</f>
        <v>0</v>
      </c>
    </row>
    <row r="3181" spans="1:14" x14ac:dyDescent="0.25">
      <c r="A3181" s="121" t="s">
        <v>81</v>
      </c>
      <c r="B3181" s="121" t="s">
        <v>163</v>
      </c>
      <c r="C3181" s="62">
        <f>VLOOKUP(B3181,合并仓明细!$D$2:$F$74,3,0)</f>
        <v>115</v>
      </c>
      <c r="D3181" s="122" t="s">
        <v>413</v>
      </c>
      <c r="E3181" s="123">
        <v>46085</v>
      </c>
      <c r="F3181" s="121" t="s">
        <v>66</v>
      </c>
      <c r="G3181" s="121">
        <v>173.12</v>
      </c>
      <c r="H3181" s="124">
        <v>0.17312</v>
      </c>
      <c r="I3181" s="125"/>
      <c r="J3181" s="125"/>
      <c r="K3181" s="125"/>
      <c r="L3181" s="37">
        <f>IF(H3181&gt;30,QUOTIENT(H3181,30)*VLOOKUP(D3181,'报价表-配送'!$B$32:$I$37,8,0),0)+IF(AND(MOD(H3181,30)&gt;18,MOD(H3181,30)&lt;=30),1,0)*VLOOKUP(D3181,'报价表-配送'!$B$32:$I$37,8,0)+IF(AND(MOD(H3181,30)&gt;8,MOD(H3181,30)&lt;=18),1*VLOOKUP(D3181,'报价表-配送'!$B$32:$I$37,7,0),0)+IF(AND(MOD(H3181,30)&lt;=8,MOD(H3181,30)&gt;2.5),1,0)*VLOOKUP(D3181,'报价表-配送'!$B$32:$I$37,6,0)+IF(AND(MOD(H3181,30)&lt;=2.5,MOD(H3181,30)&gt;=1.5),1,0)*VLOOKUP(D3181,'报价表-配送'!$B$32:$I$37,5,0)</f>
        <v>0</v>
      </c>
      <c r="M3181" s="39">
        <f>IF(AND(MOD(H3181,30)&lt;1.5,MOD(H3181,30)&gt;=0.5),H3181,0)*VLOOKUP(D3181,'报价表-配送'!$B$32:$I$37,4,0)*1000+IF(AND(MOD(H3181,30)&lt;0.5,MOD(H3181,30)&gt;=0.02),H3181,0)*VLOOKUP(D3181,'报价表-配送'!$B$32:$I$37,3,0)*1000+IF(AND(MOD(H3181,30)&lt;0.02),H3181,0)*VLOOKUP(D3181,'报价表-配送'!$B$32:$I$37,2,0)*1000</f>
        <v>0</v>
      </c>
      <c r="N3181" s="127">
        <f t="shared" si="150"/>
        <v>0</v>
      </c>
    </row>
    <row r="3182" spans="1:14" x14ac:dyDescent="0.25">
      <c r="A3182" s="121" t="s">
        <v>81</v>
      </c>
      <c r="B3182" s="121" t="s">
        <v>163</v>
      </c>
      <c r="C3182" s="62">
        <f>VLOOKUP(B3182,合并仓明细!$D$2:$F$74,3,0)</f>
        <v>115</v>
      </c>
      <c r="D3182" s="122" t="s">
        <v>413</v>
      </c>
      <c r="E3182" s="123">
        <v>46087</v>
      </c>
      <c r="F3182" s="121" t="s">
        <v>66</v>
      </c>
      <c r="G3182" s="121">
        <v>846.73789667000005</v>
      </c>
      <c r="H3182" s="124">
        <v>0.8467378966700001</v>
      </c>
      <c r="I3182" s="125"/>
      <c r="J3182" s="125"/>
      <c r="K3182" s="125"/>
      <c r="L3182" s="37">
        <f>IF(H3182&gt;30,QUOTIENT(H3182,30)*VLOOKUP(D3182,'报价表-配送'!$B$32:$I$37,8,0),0)+IF(AND(MOD(H3182,30)&gt;18,MOD(H3182,30)&lt;=30),1,0)*VLOOKUP(D3182,'报价表-配送'!$B$32:$I$37,8,0)+IF(AND(MOD(H3182,30)&gt;8,MOD(H3182,30)&lt;=18),1*VLOOKUP(D3182,'报价表-配送'!$B$32:$I$37,7,0),0)+IF(AND(MOD(H3182,30)&lt;=8,MOD(H3182,30)&gt;2.5),1,0)*VLOOKUP(D3182,'报价表-配送'!$B$32:$I$37,6,0)+IF(AND(MOD(H3182,30)&lt;=2.5,MOD(H3182,30)&gt;=1.5),1,0)*VLOOKUP(D3182,'报价表-配送'!$B$32:$I$37,5,0)</f>
        <v>0</v>
      </c>
      <c r="M3182" s="39">
        <f>IF(AND(MOD(H3182,30)&lt;1.5,MOD(H3182,30)&gt;=0.5),H3182,0)*VLOOKUP(D3182,'报价表-配送'!$B$32:$I$37,4,0)*1000+IF(AND(MOD(H3182,30)&lt;0.5,MOD(H3182,30)&gt;=0.02),H3182,0)*VLOOKUP(D3182,'报价表-配送'!$B$32:$I$37,3,0)*1000+IF(AND(MOD(H3182,30)&lt;0.02),H3182,0)*VLOOKUP(D3182,'报价表-配送'!$B$32:$I$37,2,0)*1000</f>
        <v>0</v>
      </c>
      <c r="N3182" s="127">
        <f t="shared" si="150"/>
        <v>0</v>
      </c>
    </row>
    <row r="3183" spans="1:14" x14ac:dyDescent="0.25">
      <c r="A3183" s="121" t="s">
        <v>81</v>
      </c>
      <c r="B3183" s="121" t="s">
        <v>163</v>
      </c>
      <c r="C3183" s="62">
        <f>VLOOKUP(B3183,合并仓明细!$D$2:$F$74,3,0)</f>
        <v>115</v>
      </c>
      <c r="D3183" s="122" t="s">
        <v>413</v>
      </c>
      <c r="E3183" s="123">
        <v>46093</v>
      </c>
      <c r="F3183" s="121" t="s">
        <v>66</v>
      </c>
      <c r="G3183" s="121">
        <v>10.425000000000001</v>
      </c>
      <c r="H3183" s="124">
        <v>1.0425E-2</v>
      </c>
      <c r="I3183" s="125"/>
      <c r="J3183" s="125"/>
      <c r="K3183" s="125"/>
      <c r="L3183" s="37">
        <f>IF(H3183&gt;30,QUOTIENT(H3183,30)*VLOOKUP(D3183,'报价表-配送'!$B$32:$I$37,8,0),0)+IF(AND(MOD(H3183,30)&gt;18,MOD(H3183,30)&lt;=30),1,0)*VLOOKUP(D3183,'报价表-配送'!$B$32:$I$37,8,0)+IF(AND(MOD(H3183,30)&gt;8,MOD(H3183,30)&lt;=18),1*VLOOKUP(D3183,'报价表-配送'!$B$32:$I$37,7,0),0)+IF(AND(MOD(H3183,30)&lt;=8,MOD(H3183,30)&gt;2.5),1,0)*VLOOKUP(D3183,'报价表-配送'!$B$32:$I$37,6,0)+IF(AND(MOD(H3183,30)&lt;=2.5,MOD(H3183,30)&gt;=1.5),1,0)*VLOOKUP(D3183,'报价表-配送'!$B$32:$I$37,5,0)</f>
        <v>0</v>
      </c>
      <c r="M3183" s="39">
        <f>IF(AND(MOD(H3183,30)&lt;1.5,MOD(H3183,30)&gt;=0.5),H3183,0)*VLOOKUP(D3183,'报价表-配送'!$B$32:$I$37,4,0)*1000+IF(AND(MOD(H3183,30)&lt;0.5,MOD(H3183,30)&gt;=0.02),H3183,0)*VLOOKUP(D3183,'报价表-配送'!$B$32:$I$37,3,0)*1000+IF(AND(MOD(H3183,30)&lt;0.02),H3183,0)*VLOOKUP(D3183,'报价表-配送'!$B$32:$I$37,2,0)*1000</f>
        <v>0</v>
      </c>
      <c r="N3183" s="127">
        <f t="shared" si="150"/>
        <v>0</v>
      </c>
    </row>
    <row r="3184" spans="1:14" x14ac:dyDescent="0.25">
      <c r="A3184" s="121" t="s">
        <v>81</v>
      </c>
      <c r="B3184" s="121" t="s">
        <v>163</v>
      </c>
      <c r="C3184" s="62">
        <f>VLOOKUP(B3184,合并仓明细!$D$2:$F$74,3,0)</f>
        <v>115</v>
      </c>
      <c r="D3184" s="122" t="s">
        <v>413</v>
      </c>
      <c r="E3184" s="123">
        <v>46099</v>
      </c>
      <c r="F3184" s="121" t="s">
        <v>68</v>
      </c>
      <c r="G3184" s="121">
        <v>935.67520000000002</v>
      </c>
      <c r="H3184" s="124">
        <v>9.4190083047199984</v>
      </c>
      <c r="I3184" s="46">
        <f>ROUNDUP(H3184/30,0)*VLOOKUP(D3184,'报价表-配送'!$B$32:$I$37,8,0)</f>
        <v>0</v>
      </c>
      <c r="J3184" s="125"/>
      <c r="K3184" s="125"/>
      <c r="L3184" s="121"/>
      <c r="M3184" s="126"/>
      <c r="N3184" s="127">
        <f t="shared" si="150"/>
        <v>0</v>
      </c>
    </row>
    <row r="3185" spans="1:14" x14ac:dyDescent="0.25">
      <c r="A3185" s="121" t="s">
        <v>81</v>
      </c>
      <c r="B3185" s="121" t="s">
        <v>163</v>
      </c>
      <c r="C3185" s="62">
        <f>VLOOKUP(B3185,合并仓明细!$D$2:$F$74,3,0)</f>
        <v>115</v>
      </c>
      <c r="D3185" s="122" t="s">
        <v>413</v>
      </c>
      <c r="E3185" s="123">
        <v>46099</v>
      </c>
      <c r="F3185" s="121" t="s">
        <v>67</v>
      </c>
      <c r="G3185" s="121">
        <v>7883.5003713999995</v>
      </c>
      <c r="H3185" s="124"/>
      <c r="I3185" s="125"/>
      <c r="J3185" s="125"/>
      <c r="K3185" s="125"/>
      <c r="L3185" s="121"/>
      <c r="M3185" s="126"/>
      <c r="N3185" s="121"/>
    </row>
    <row r="3186" spans="1:14" x14ac:dyDescent="0.25">
      <c r="A3186" s="121" t="s">
        <v>81</v>
      </c>
      <c r="B3186" s="121" t="s">
        <v>163</v>
      </c>
      <c r="C3186" s="62">
        <f>VLOOKUP(B3186,合并仓明细!$D$2:$F$74,3,0)</f>
        <v>115</v>
      </c>
      <c r="D3186" s="122" t="s">
        <v>413</v>
      </c>
      <c r="E3186" s="123">
        <v>46099</v>
      </c>
      <c r="F3186" s="121" t="s">
        <v>66</v>
      </c>
      <c r="G3186" s="121">
        <v>599.8327333200001</v>
      </c>
      <c r="H3186" s="124"/>
      <c r="I3186" s="125"/>
      <c r="J3186" s="125"/>
      <c r="K3186" s="125"/>
      <c r="L3186" s="121"/>
      <c r="M3186" s="126"/>
      <c r="N3186" s="121"/>
    </row>
    <row r="3187" spans="1:14" x14ac:dyDescent="0.25">
      <c r="A3187" s="121" t="s">
        <v>81</v>
      </c>
      <c r="B3187" s="121" t="s">
        <v>163</v>
      </c>
      <c r="C3187" s="62">
        <f>VLOOKUP(B3187,合并仓明细!$D$2:$F$74,3,0)</f>
        <v>115</v>
      </c>
      <c r="D3187" s="122" t="s">
        <v>413</v>
      </c>
      <c r="E3187" s="123">
        <v>46101</v>
      </c>
      <c r="F3187" s="121" t="s">
        <v>66</v>
      </c>
      <c r="G3187" s="121">
        <v>3.3</v>
      </c>
      <c r="H3187" s="124">
        <v>3.3E-3</v>
      </c>
      <c r="I3187" s="125"/>
      <c r="J3187" s="125"/>
      <c r="K3187" s="125"/>
      <c r="L3187" s="37">
        <f>IF(H3187&gt;30,QUOTIENT(H3187,30)*VLOOKUP(D3187,'报价表-配送'!$B$32:$I$37,8,0),0)+IF(AND(MOD(H3187,30)&gt;18,MOD(H3187,30)&lt;=30),1,0)*VLOOKUP(D3187,'报价表-配送'!$B$32:$I$37,8,0)+IF(AND(MOD(H3187,30)&gt;8,MOD(H3187,30)&lt;=18),1*VLOOKUP(D3187,'报价表-配送'!$B$32:$I$37,7,0),0)+IF(AND(MOD(H3187,30)&lt;=8,MOD(H3187,30)&gt;2.5),1,0)*VLOOKUP(D3187,'报价表-配送'!$B$32:$I$37,6,0)+IF(AND(MOD(H3187,30)&lt;=2.5,MOD(H3187,30)&gt;=1.5),1,0)*VLOOKUP(D3187,'报价表-配送'!$B$32:$I$37,5,0)</f>
        <v>0</v>
      </c>
      <c r="M3187" s="39">
        <f>IF(AND(MOD(H3187,30)&lt;1.5,MOD(H3187,30)&gt;=0.5),H3187,0)*VLOOKUP(D3187,'报价表-配送'!$B$32:$I$37,4,0)*1000+IF(AND(MOD(H3187,30)&lt;0.5,MOD(H3187,30)&gt;=0.02),H3187,0)*VLOOKUP(D3187,'报价表-配送'!$B$32:$I$37,3,0)*1000+IF(AND(MOD(H3187,30)&lt;0.02),H3187,0)*VLOOKUP(D3187,'报价表-配送'!$B$32:$I$37,2,0)*1000</f>
        <v>0</v>
      </c>
      <c r="N3187" s="127">
        <f t="shared" ref="N3187:N3189" si="151">SUM(I3187:L3187)</f>
        <v>0</v>
      </c>
    </row>
    <row r="3188" spans="1:14" x14ac:dyDescent="0.25">
      <c r="A3188" s="121" t="s">
        <v>81</v>
      </c>
      <c r="B3188" s="121" t="s">
        <v>163</v>
      </c>
      <c r="C3188" s="62">
        <f>VLOOKUP(B3188,合并仓明细!$D$2:$F$74,3,0)</f>
        <v>115</v>
      </c>
      <c r="D3188" s="122" t="s">
        <v>413</v>
      </c>
      <c r="E3188" s="123">
        <v>46104</v>
      </c>
      <c r="F3188" s="121" t="s">
        <v>66</v>
      </c>
      <c r="G3188" s="121">
        <v>349.67583999999999</v>
      </c>
      <c r="H3188" s="124">
        <v>0.34967584000000002</v>
      </c>
      <c r="I3188" s="125"/>
      <c r="J3188" s="125"/>
      <c r="K3188" s="125"/>
      <c r="L3188" s="37">
        <f>IF(H3188&gt;30,QUOTIENT(H3188,30)*VLOOKUP(D3188,'报价表-配送'!$B$32:$I$37,8,0),0)+IF(AND(MOD(H3188,30)&gt;18,MOD(H3188,30)&lt;=30),1,0)*VLOOKUP(D3188,'报价表-配送'!$B$32:$I$37,8,0)+IF(AND(MOD(H3188,30)&gt;8,MOD(H3188,30)&lt;=18),1*VLOOKUP(D3188,'报价表-配送'!$B$32:$I$37,7,0),0)+IF(AND(MOD(H3188,30)&lt;=8,MOD(H3188,30)&gt;2.5),1,0)*VLOOKUP(D3188,'报价表-配送'!$B$32:$I$37,6,0)+IF(AND(MOD(H3188,30)&lt;=2.5,MOD(H3188,30)&gt;=1.5),1,0)*VLOOKUP(D3188,'报价表-配送'!$B$32:$I$37,5,0)</f>
        <v>0</v>
      </c>
      <c r="M3188" s="39">
        <f>IF(AND(MOD(H3188,30)&lt;1.5,MOD(H3188,30)&gt;=0.5),H3188,0)*VLOOKUP(D3188,'报价表-配送'!$B$32:$I$37,4,0)*1000+IF(AND(MOD(H3188,30)&lt;0.5,MOD(H3188,30)&gt;=0.02),H3188,0)*VLOOKUP(D3188,'报价表-配送'!$B$32:$I$37,3,0)*1000+IF(AND(MOD(H3188,30)&lt;0.02),H3188,0)*VLOOKUP(D3188,'报价表-配送'!$B$32:$I$37,2,0)*1000</f>
        <v>0</v>
      </c>
      <c r="N3188" s="127">
        <f t="shared" si="151"/>
        <v>0</v>
      </c>
    </row>
    <row r="3189" spans="1:14" x14ac:dyDescent="0.25">
      <c r="A3189" s="121" t="s">
        <v>81</v>
      </c>
      <c r="B3189" s="121" t="s">
        <v>163</v>
      </c>
      <c r="C3189" s="62">
        <f>VLOOKUP(B3189,合并仓明细!$D$2:$F$74,3,0)</f>
        <v>115</v>
      </c>
      <c r="D3189" s="122" t="s">
        <v>413</v>
      </c>
      <c r="E3189" s="123">
        <v>46107</v>
      </c>
      <c r="F3189" s="121" t="s">
        <v>67</v>
      </c>
      <c r="G3189" s="121">
        <v>1085.0070000000001</v>
      </c>
      <c r="H3189" s="124">
        <v>2.0238457533400003</v>
      </c>
      <c r="I3189" s="38">
        <f>IF(H3189&gt;30,QUOTIENT(H3189,30)*VLOOKUP(D3189,'报价表-配送'!$B$32:$I$37,8,0),0)+IF(AND(MOD(H3189,30)&gt;18,MOD(H3189,30)&lt;=30),1,0)*VLOOKUP(D3189,'报价表-配送'!$B$32:$I$37,8,0)</f>
        <v>0</v>
      </c>
      <c r="J3189" s="38">
        <f>IF(AND(MOD(H3189,30)&gt;8,MOD(H3189,30)&lt;=18),1*VLOOKUP(D3189,'报价表-配送'!$B$32:$I$37,7,0),0)</f>
        <v>0</v>
      </c>
      <c r="K3189" s="38">
        <f>IF(AND(MOD(H3189,30)&lt;=8,MOD(H3189,30)&gt;0),1,0)*VLOOKUP(D3189,'报价表-配送'!$B$32:$I$37,6,0)</f>
        <v>0</v>
      </c>
      <c r="L3189" s="121"/>
      <c r="M3189" s="126"/>
      <c r="N3189" s="127">
        <f t="shared" si="151"/>
        <v>0</v>
      </c>
    </row>
    <row r="3190" spans="1:14" x14ac:dyDescent="0.25">
      <c r="A3190" s="121" t="s">
        <v>81</v>
      </c>
      <c r="B3190" s="121" t="s">
        <v>163</v>
      </c>
      <c r="C3190" s="62">
        <f>VLOOKUP(B3190,合并仓明细!$D$2:$F$74,3,0)</f>
        <v>115</v>
      </c>
      <c r="D3190" s="122" t="s">
        <v>413</v>
      </c>
      <c r="E3190" s="123">
        <v>46107</v>
      </c>
      <c r="F3190" s="121" t="s">
        <v>66</v>
      </c>
      <c r="G3190" s="121">
        <v>938.83875334000004</v>
      </c>
      <c r="H3190" s="124"/>
      <c r="I3190" s="125"/>
      <c r="J3190" s="125"/>
      <c r="K3190" s="125"/>
      <c r="L3190" s="121"/>
      <c r="M3190" s="126"/>
      <c r="N3190" s="121"/>
    </row>
    <row r="3191" spans="1:14" x14ac:dyDescent="0.25">
      <c r="A3191" s="121" t="s">
        <v>81</v>
      </c>
      <c r="B3191" s="121" t="s">
        <v>164</v>
      </c>
      <c r="C3191" s="62">
        <f>VLOOKUP(B3191,合并仓明细!$D$2:$F$74,3,0)</f>
        <v>174</v>
      </c>
      <c r="D3191" s="122" t="s">
        <v>413</v>
      </c>
      <c r="E3191" s="123">
        <v>46098</v>
      </c>
      <c r="F3191" s="121" t="s">
        <v>67</v>
      </c>
      <c r="G3191" s="121">
        <v>13751.347656</v>
      </c>
      <c r="H3191" s="124">
        <v>16.701622655999998</v>
      </c>
      <c r="I3191" s="38">
        <f>IF(H3191&gt;30,QUOTIENT(H3191,30)*VLOOKUP(D3191,'报价表-配送'!$B$32:$I$37,8,0),0)+IF(AND(MOD(H3191,30)&gt;18,MOD(H3191,30)&lt;=30),1,0)*VLOOKUP(D3191,'报价表-配送'!$B$32:$I$37,8,0)</f>
        <v>0</v>
      </c>
      <c r="J3191" s="38">
        <f>IF(AND(MOD(H3191,30)&gt;8,MOD(H3191,30)&lt;=18),1*VLOOKUP(D3191,'报价表-配送'!$B$32:$I$37,7,0),0)</f>
        <v>0</v>
      </c>
      <c r="K3191" s="38">
        <f>IF(AND(MOD(H3191,30)&lt;=8,MOD(H3191,30)&gt;0),1,0)*VLOOKUP(D3191,'报价表-配送'!$B$32:$I$37,6,0)</f>
        <v>0</v>
      </c>
      <c r="L3191" s="121"/>
      <c r="M3191" s="126"/>
      <c r="N3191" s="127">
        <f t="shared" ref="N3191" si="152">SUM(I3191:L3191)</f>
        <v>0</v>
      </c>
    </row>
    <row r="3192" spans="1:14" x14ac:dyDescent="0.25">
      <c r="A3192" s="121" t="s">
        <v>81</v>
      </c>
      <c r="B3192" s="121" t="s">
        <v>164</v>
      </c>
      <c r="C3192" s="62">
        <f>VLOOKUP(B3192,合并仓明细!$D$2:$F$74,3,0)</f>
        <v>174</v>
      </c>
      <c r="D3192" s="122" t="s">
        <v>413</v>
      </c>
      <c r="E3192" s="123">
        <v>46098</v>
      </c>
      <c r="F3192" s="121" t="s">
        <v>66</v>
      </c>
      <c r="G3192" s="121">
        <v>2950.2749999999996</v>
      </c>
      <c r="H3192" s="124"/>
      <c r="I3192" s="125"/>
      <c r="J3192" s="125"/>
      <c r="K3192" s="125"/>
      <c r="L3192" s="121"/>
      <c r="M3192" s="126"/>
      <c r="N3192" s="121"/>
    </row>
    <row r="3193" spans="1:14" x14ac:dyDescent="0.25">
      <c r="A3193" s="121" t="s">
        <v>81</v>
      </c>
      <c r="B3193" s="121" t="s">
        <v>162</v>
      </c>
      <c r="C3193" s="62">
        <f>VLOOKUP(B3193,合并仓明细!$D$2:$F$74,3,0)</f>
        <v>49</v>
      </c>
      <c r="D3193" s="122" t="s">
        <v>393</v>
      </c>
      <c r="E3193" s="123">
        <v>45943</v>
      </c>
      <c r="F3193" s="121" t="s">
        <v>68</v>
      </c>
      <c r="G3193" s="121">
        <v>11021.34</v>
      </c>
      <c r="H3193" s="124">
        <v>12.485799942669999</v>
      </c>
      <c r="I3193" s="46">
        <f>ROUNDUP(H3193/30,0)*VLOOKUP(D3193,'报价表-配送'!$B$32:$I$37,8,0)</f>
        <v>0</v>
      </c>
      <c r="J3193" s="125"/>
      <c r="K3193" s="125"/>
      <c r="L3193" s="121"/>
      <c r="M3193" s="126"/>
      <c r="N3193" s="127">
        <f t="shared" ref="N3193" si="153">SUM(I3193:L3193)</f>
        <v>0</v>
      </c>
    </row>
    <row r="3194" spans="1:14" x14ac:dyDescent="0.25">
      <c r="A3194" s="121" t="s">
        <v>81</v>
      </c>
      <c r="B3194" s="121" t="s">
        <v>162</v>
      </c>
      <c r="C3194" s="62">
        <f>VLOOKUP(B3194,合并仓明细!$D$2:$F$74,3,0)</f>
        <v>49</v>
      </c>
      <c r="D3194" s="122" t="s">
        <v>393</v>
      </c>
      <c r="E3194" s="123">
        <v>45943</v>
      </c>
      <c r="F3194" s="121" t="s">
        <v>67</v>
      </c>
      <c r="G3194" s="121">
        <v>119.01377599999999</v>
      </c>
      <c r="H3194" s="124"/>
      <c r="I3194" s="125"/>
      <c r="J3194" s="125"/>
      <c r="K3194" s="125"/>
      <c r="L3194" s="121"/>
      <c r="M3194" s="126"/>
      <c r="N3194" s="121"/>
    </row>
    <row r="3195" spans="1:14" x14ac:dyDescent="0.25">
      <c r="A3195" s="121" t="s">
        <v>81</v>
      </c>
      <c r="B3195" s="121" t="s">
        <v>162</v>
      </c>
      <c r="C3195" s="62">
        <f>VLOOKUP(B3195,合并仓明细!$D$2:$F$74,3,0)</f>
        <v>49</v>
      </c>
      <c r="D3195" s="122" t="s">
        <v>393</v>
      </c>
      <c r="E3195" s="123">
        <v>45943</v>
      </c>
      <c r="F3195" s="121" t="s">
        <v>66</v>
      </c>
      <c r="G3195" s="121">
        <v>1345.4461666699997</v>
      </c>
      <c r="H3195" s="124"/>
      <c r="I3195" s="125"/>
      <c r="J3195" s="125"/>
      <c r="K3195" s="125"/>
      <c r="L3195" s="121"/>
      <c r="M3195" s="126"/>
      <c r="N3195" s="121"/>
    </row>
    <row r="3196" spans="1:14" x14ac:dyDescent="0.25">
      <c r="A3196" s="121" t="s">
        <v>81</v>
      </c>
      <c r="B3196" s="121" t="s">
        <v>162</v>
      </c>
      <c r="C3196" s="62">
        <f>VLOOKUP(B3196,合并仓明细!$D$2:$F$74,3,0)</f>
        <v>49</v>
      </c>
      <c r="D3196" s="122" t="s">
        <v>393</v>
      </c>
      <c r="E3196" s="123">
        <v>45951</v>
      </c>
      <c r="F3196" s="121" t="s">
        <v>68</v>
      </c>
      <c r="G3196" s="121">
        <v>11207.255999999999</v>
      </c>
      <c r="H3196" s="124">
        <v>11.325546000000001</v>
      </c>
      <c r="I3196" s="46">
        <f>ROUNDUP(H3196/30,0)*VLOOKUP(D3196,'报价表-配送'!$B$32:$I$37,8,0)</f>
        <v>0</v>
      </c>
      <c r="J3196" s="125"/>
      <c r="K3196" s="125"/>
      <c r="L3196" s="121"/>
      <c r="M3196" s="126"/>
      <c r="N3196" s="127">
        <f t="shared" ref="N3196" si="154">SUM(I3196:L3196)</f>
        <v>0</v>
      </c>
    </row>
    <row r="3197" spans="1:14" x14ac:dyDescent="0.25">
      <c r="A3197" s="121" t="s">
        <v>81</v>
      </c>
      <c r="B3197" s="121" t="s">
        <v>162</v>
      </c>
      <c r="C3197" s="62">
        <f>VLOOKUP(B3197,合并仓明细!$D$2:$F$74,3,0)</f>
        <v>49</v>
      </c>
      <c r="D3197" s="122" t="s">
        <v>393</v>
      </c>
      <c r="E3197" s="123">
        <v>45951</v>
      </c>
      <c r="F3197" s="121" t="s">
        <v>66</v>
      </c>
      <c r="G3197" s="121">
        <v>118.28999999999999</v>
      </c>
      <c r="H3197" s="124"/>
      <c r="I3197" s="125"/>
      <c r="J3197" s="125"/>
      <c r="K3197" s="125"/>
      <c r="L3197" s="121"/>
      <c r="M3197" s="126"/>
      <c r="N3197" s="121"/>
    </row>
    <row r="3198" spans="1:14" x14ac:dyDescent="0.25">
      <c r="A3198" s="121" t="s">
        <v>81</v>
      </c>
      <c r="B3198" s="121" t="s">
        <v>162</v>
      </c>
      <c r="C3198" s="62">
        <f>VLOOKUP(B3198,合并仓明细!$D$2:$F$74,3,0)</f>
        <v>49</v>
      </c>
      <c r="D3198" s="122" t="s">
        <v>393</v>
      </c>
      <c r="E3198" s="123">
        <v>45966</v>
      </c>
      <c r="F3198" s="121" t="s">
        <v>68</v>
      </c>
      <c r="G3198" s="121">
        <v>11002.008</v>
      </c>
      <c r="H3198" s="124">
        <v>11.93553328</v>
      </c>
      <c r="I3198" s="46">
        <f>ROUNDUP(H3198/30,0)*VLOOKUP(D3198,'报价表-配送'!$B$32:$I$37,8,0)</f>
        <v>0</v>
      </c>
      <c r="J3198" s="125"/>
      <c r="K3198" s="125"/>
      <c r="L3198" s="121"/>
      <c r="M3198" s="126"/>
      <c r="N3198" s="127">
        <f t="shared" ref="N3198" si="155">SUM(I3198:L3198)</f>
        <v>0</v>
      </c>
    </row>
    <row r="3199" spans="1:14" x14ac:dyDescent="0.25">
      <c r="A3199" s="121" t="s">
        <v>81</v>
      </c>
      <c r="B3199" s="121" t="s">
        <v>162</v>
      </c>
      <c r="C3199" s="62">
        <f>VLOOKUP(B3199,合并仓明细!$D$2:$F$74,3,0)</f>
        <v>49</v>
      </c>
      <c r="D3199" s="122" t="s">
        <v>393</v>
      </c>
      <c r="E3199" s="123">
        <v>45966</v>
      </c>
      <c r="F3199" s="121" t="s">
        <v>67</v>
      </c>
      <c r="G3199" s="121">
        <v>198.07277999999999</v>
      </c>
      <c r="H3199" s="124"/>
      <c r="I3199" s="125"/>
      <c r="J3199" s="125"/>
      <c r="K3199" s="125"/>
      <c r="L3199" s="121"/>
      <c r="M3199" s="126"/>
      <c r="N3199" s="121"/>
    </row>
    <row r="3200" spans="1:14" x14ac:dyDescent="0.25">
      <c r="A3200" s="121" t="s">
        <v>81</v>
      </c>
      <c r="B3200" s="121" t="s">
        <v>162</v>
      </c>
      <c r="C3200" s="62">
        <f>VLOOKUP(B3200,合并仓明细!$D$2:$F$74,3,0)</f>
        <v>49</v>
      </c>
      <c r="D3200" s="122" t="s">
        <v>393</v>
      </c>
      <c r="E3200" s="123">
        <v>45966</v>
      </c>
      <c r="F3200" s="121" t="s">
        <v>66</v>
      </c>
      <c r="G3200" s="121">
        <v>735.45249999999999</v>
      </c>
      <c r="H3200" s="124"/>
      <c r="I3200" s="125"/>
      <c r="J3200" s="125"/>
      <c r="K3200" s="125"/>
      <c r="L3200" s="121"/>
      <c r="M3200" s="126"/>
      <c r="N3200" s="121"/>
    </row>
    <row r="3201" spans="1:14" x14ac:dyDescent="0.25">
      <c r="A3201" s="121" t="s">
        <v>81</v>
      </c>
      <c r="B3201" s="121" t="s">
        <v>162</v>
      </c>
      <c r="C3201" s="62">
        <f>VLOOKUP(B3201,合并仓明细!$D$2:$F$74,3,0)</f>
        <v>49</v>
      </c>
      <c r="D3201" s="122" t="s">
        <v>393</v>
      </c>
      <c r="E3201" s="123">
        <v>45973</v>
      </c>
      <c r="F3201" s="121" t="s">
        <v>66</v>
      </c>
      <c r="G3201" s="121">
        <v>592.71366667000007</v>
      </c>
      <c r="H3201" s="124">
        <v>0.59271366667000003</v>
      </c>
      <c r="I3201" s="125"/>
      <c r="J3201" s="125"/>
      <c r="K3201" s="125"/>
      <c r="L3201" s="37">
        <f>IF(H3201&gt;30,QUOTIENT(H3201,30)*VLOOKUP(D3201,'报价表-配送'!$B$32:$I$37,8,0),0)+IF(AND(MOD(H3201,30)&gt;18,MOD(H3201,30)&lt;=30),1,0)*VLOOKUP(D3201,'报价表-配送'!$B$32:$I$37,8,0)+IF(AND(MOD(H3201,30)&gt;8,MOD(H3201,30)&lt;=18),1*VLOOKUP(D3201,'报价表-配送'!$B$32:$I$37,7,0),0)+IF(AND(MOD(H3201,30)&lt;=8,MOD(H3201,30)&gt;2.5),1,0)*VLOOKUP(D3201,'报价表-配送'!$B$32:$I$37,6,0)+IF(AND(MOD(H3201,30)&lt;=2.5,MOD(H3201,30)&gt;=1.5),1,0)*VLOOKUP(D3201,'报价表-配送'!$B$32:$I$37,5,0)</f>
        <v>0</v>
      </c>
      <c r="M3201" s="39">
        <f>IF(AND(MOD(H3201,30)&lt;1.5,MOD(H3201,30)&gt;=0.5),H3201,0)*VLOOKUP(D3201,'报价表-配送'!$B$32:$I$37,4,0)*1000+IF(AND(MOD(H3201,30)&lt;0.5,MOD(H3201,30)&gt;=0.02),H3201,0)*VLOOKUP(D3201,'报价表-配送'!$B$32:$I$37,3,0)*1000+IF(AND(MOD(H3201,30)&lt;0.02),H3201,0)*VLOOKUP(D3201,'报价表-配送'!$B$32:$I$37,2,0)*1000</f>
        <v>0</v>
      </c>
      <c r="N3201" s="127">
        <f t="shared" ref="N3201:N3202" si="156">SUM(I3201:L3201)</f>
        <v>0</v>
      </c>
    </row>
    <row r="3202" spans="1:14" x14ac:dyDescent="0.25">
      <c r="A3202" s="121" t="s">
        <v>81</v>
      </c>
      <c r="B3202" s="121" t="s">
        <v>162</v>
      </c>
      <c r="C3202" s="62">
        <f>VLOOKUP(B3202,合并仓明细!$D$2:$F$74,3,0)</f>
        <v>49</v>
      </c>
      <c r="D3202" s="122" t="s">
        <v>393</v>
      </c>
      <c r="E3202" s="123">
        <v>45980</v>
      </c>
      <c r="F3202" s="121" t="s">
        <v>68</v>
      </c>
      <c r="G3202" s="121">
        <v>1340.7054000000001</v>
      </c>
      <c r="H3202" s="124">
        <v>4.3255997222659994</v>
      </c>
      <c r="I3202" s="46">
        <f>ROUNDUP(H3202/30,0)*VLOOKUP(D3202,'报价表-配送'!$B$32:$I$37,8,0)</f>
        <v>0</v>
      </c>
      <c r="J3202" s="125"/>
      <c r="K3202" s="125"/>
      <c r="L3202" s="121"/>
      <c r="M3202" s="126"/>
      <c r="N3202" s="127">
        <f t="shared" si="156"/>
        <v>0</v>
      </c>
    </row>
    <row r="3203" spans="1:14" x14ac:dyDescent="0.25">
      <c r="A3203" s="121" t="s">
        <v>81</v>
      </c>
      <c r="B3203" s="121" t="s">
        <v>162</v>
      </c>
      <c r="C3203" s="62">
        <f>VLOOKUP(B3203,合并仓明细!$D$2:$F$74,3,0)</f>
        <v>49</v>
      </c>
      <c r="D3203" s="122" t="s">
        <v>393</v>
      </c>
      <c r="E3203" s="123">
        <v>45980</v>
      </c>
      <c r="F3203" s="121" t="s">
        <v>67</v>
      </c>
      <c r="G3203" s="121">
        <v>2572.089009456</v>
      </c>
      <c r="H3203" s="124"/>
      <c r="I3203" s="125"/>
      <c r="J3203" s="125"/>
      <c r="K3203" s="125"/>
      <c r="L3203" s="121"/>
      <c r="M3203" s="126"/>
      <c r="N3203" s="121"/>
    </row>
    <row r="3204" spans="1:14" x14ac:dyDescent="0.25">
      <c r="A3204" s="121" t="s">
        <v>81</v>
      </c>
      <c r="B3204" s="121" t="s">
        <v>162</v>
      </c>
      <c r="C3204" s="62">
        <f>VLOOKUP(B3204,合并仓明细!$D$2:$F$74,3,0)</f>
        <v>49</v>
      </c>
      <c r="D3204" s="122" t="s">
        <v>393</v>
      </c>
      <c r="E3204" s="123">
        <v>45980</v>
      </c>
      <c r="F3204" s="121" t="s">
        <v>66</v>
      </c>
      <c r="G3204" s="121">
        <v>412.80531280999998</v>
      </c>
      <c r="H3204" s="124"/>
      <c r="I3204" s="125"/>
      <c r="J3204" s="125"/>
      <c r="K3204" s="125"/>
      <c r="L3204" s="121"/>
      <c r="M3204" s="126"/>
      <c r="N3204" s="121"/>
    </row>
    <row r="3205" spans="1:14" x14ac:dyDescent="0.25">
      <c r="A3205" s="121" t="s">
        <v>81</v>
      </c>
      <c r="B3205" s="121" t="s">
        <v>162</v>
      </c>
      <c r="C3205" s="62">
        <f>VLOOKUP(B3205,合并仓明细!$D$2:$F$74,3,0)</f>
        <v>49</v>
      </c>
      <c r="D3205" s="122" t="s">
        <v>393</v>
      </c>
      <c r="E3205" s="123">
        <v>45990</v>
      </c>
      <c r="F3205" s="121" t="s">
        <v>66</v>
      </c>
      <c r="G3205" s="121">
        <v>195.94369047999996</v>
      </c>
      <c r="H3205" s="124">
        <v>0.19594369047999996</v>
      </c>
      <c r="I3205" s="125"/>
      <c r="J3205" s="125"/>
      <c r="K3205" s="125"/>
      <c r="L3205" s="37">
        <f>IF(H3205&gt;30,QUOTIENT(H3205,30)*VLOOKUP(D3205,'报价表-配送'!$B$32:$I$37,8,0),0)+IF(AND(MOD(H3205,30)&gt;18,MOD(H3205,30)&lt;=30),1,0)*VLOOKUP(D3205,'报价表-配送'!$B$32:$I$37,8,0)+IF(AND(MOD(H3205,30)&gt;8,MOD(H3205,30)&lt;=18),1*VLOOKUP(D3205,'报价表-配送'!$B$32:$I$37,7,0),0)+IF(AND(MOD(H3205,30)&lt;=8,MOD(H3205,30)&gt;2.5),1,0)*VLOOKUP(D3205,'报价表-配送'!$B$32:$I$37,6,0)+IF(AND(MOD(H3205,30)&lt;=2.5,MOD(H3205,30)&gt;=1.5),1,0)*VLOOKUP(D3205,'报价表-配送'!$B$32:$I$37,5,0)</f>
        <v>0</v>
      </c>
      <c r="M3205" s="39">
        <f>IF(AND(MOD(H3205,30)&lt;1.5,MOD(H3205,30)&gt;=0.5),H3205,0)*VLOOKUP(D3205,'报价表-配送'!$B$32:$I$37,4,0)*1000+IF(AND(MOD(H3205,30)&lt;0.5,MOD(H3205,30)&gt;=0.02),H3205,0)*VLOOKUP(D3205,'报价表-配送'!$B$32:$I$37,3,0)*1000+IF(AND(MOD(H3205,30)&lt;0.02),H3205,0)*VLOOKUP(D3205,'报价表-配送'!$B$32:$I$37,2,0)*1000</f>
        <v>0</v>
      </c>
      <c r="N3205" s="127">
        <f t="shared" ref="N3205:N3211" si="157">SUM(I3205:L3205)</f>
        <v>0</v>
      </c>
    </row>
    <row r="3206" spans="1:14" x14ac:dyDescent="0.25">
      <c r="A3206" s="121" t="s">
        <v>81</v>
      </c>
      <c r="B3206" s="121" t="s">
        <v>162</v>
      </c>
      <c r="C3206" s="62">
        <f>VLOOKUP(B3206,合并仓明细!$D$2:$F$74,3,0)</f>
        <v>49</v>
      </c>
      <c r="D3206" s="122" t="s">
        <v>393</v>
      </c>
      <c r="E3206" s="123">
        <v>45999</v>
      </c>
      <c r="F3206" s="121" t="s">
        <v>66</v>
      </c>
      <c r="G3206" s="121">
        <v>124.36999999999999</v>
      </c>
      <c r="H3206" s="124">
        <v>0.12436999999999999</v>
      </c>
      <c r="I3206" s="125"/>
      <c r="J3206" s="125"/>
      <c r="K3206" s="125"/>
      <c r="L3206" s="37">
        <f>IF(H3206&gt;30,QUOTIENT(H3206,30)*VLOOKUP(D3206,'报价表-配送'!$B$32:$I$37,8,0),0)+IF(AND(MOD(H3206,30)&gt;18,MOD(H3206,30)&lt;=30),1,0)*VLOOKUP(D3206,'报价表-配送'!$B$32:$I$37,8,0)+IF(AND(MOD(H3206,30)&gt;8,MOD(H3206,30)&lt;=18),1*VLOOKUP(D3206,'报价表-配送'!$B$32:$I$37,7,0),0)+IF(AND(MOD(H3206,30)&lt;=8,MOD(H3206,30)&gt;2.5),1,0)*VLOOKUP(D3206,'报价表-配送'!$B$32:$I$37,6,0)+IF(AND(MOD(H3206,30)&lt;=2.5,MOD(H3206,30)&gt;=1.5),1,0)*VLOOKUP(D3206,'报价表-配送'!$B$32:$I$37,5,0)</f>
        <v>0</v>
      </c>
      <c r="M3206" s="39">
        <f>IF(AND(MOD(H3206,30)&lt;1.5,MOD(H3206,30)&gt;=0.5),H3206,0)*VLOOKUP(D3206,'报价表-配送'!$B$32:$I$37,4,0)*1000+IF(AND(MOD(H3206,30)&lt;0.5,MOD(H3206,30)&gt;=0.02),H3206,0)*VLOOKUP(D3206,'报价表-配送'!$B$32:$I$37,3,0)*1000+IF(AND(MOD(H3206,30)&lt;0.02),H3206,0)*VLOOKUP(D3206,'报价表-配送'!$B$32:$I$37,2,0)*1000</f>
        <v>0</v>
      </c>
      <c r="N3206" s="127">
        <f t="shared" si="157"/>
        <v>0</v>
      </c>
    </row>
    <row r="3207" spans="1:14" x14ac:dyDescent="0.25">
      <c r="A3207" s="121" t="s">
        <v>81</v>
      </c>
      <c r="B3207" s="121" t="s">
        <v>162</v>
      </c>
      <c r="C3207" s="62">
        <f>VLOOKUP(B3207,合并仓明细!$D$2:$F$74,3,0)</f>
        <v>49</v>
      </c>
      <c r="D3207" s="122" t="s">
        <v>393</v>
      </c>
      <c r="E3207" s="123">
        <v>46000</v>
      </c>
      <c r="F3207" s="121" t="s">
        <v>66</v>
      </c>
      <c r="G3207" s="121">
        <v>29.76</v>
      </c>
      <c r="H3207" s="124">
        <v>2.9760000000000002E-2</v>
      </c>
      <c r="I3207" s="125"/>
      <c r="J3207" s="125"/>
      <c r="K3207" s="125"/>
      <c r="L3207" s="37">
        <f>IF(H3207&gt;30,QUOTIENT(H3207,30)*VLOOKUP(D3207,'报价表-配送'!$B$32:$I$37,8,0),0)+IF(AND(MOD(H3207,30)&gt;18,MOD(H3207,30)&lt;=30),1,0)*VLOOKUP(D3207,'报价表-配送'!$B$32:$I$37,8,0)+IF(AND(MOD(H3207,30)&gt;8,MOD(H3207,30)&lt;=18),1*VLOOKUP(D3207,'报价表-配送'!$B$32:$I$37,7,0),0)+IF(AND(MOD(H3207,30)&lt;=8,MOD(H3207,30)&gt;2.5),1,0)*VLOOKUP(D3207,'报价表-配送'!$B$32:$I$37,6,0)+IF(AND(MOD(H3207,30)&lt;=2.5,MOD(H3207,30)&gt;=1.5),1,0)*VLOOKUP(D3207,'报价表-配送'!$B$32:$I$37,5,0)</f>
        <v>0</v>
      </c>
      <c r="M3207" s="39">
        <f>IF(AND(MOD(H3207,30)&lt;1.5,MOD(H3207,30)&gt;=0.5),H3207,0)*VLOOKUP(D3207,'报价表-配送'!$B$32:$I$37,4,0)*1000+IF(AND(MOD(H3207,30)&lt;0.5,MOD(H3207,30)&gt;=0.02),H3207,0)*VLOOKUP(D3207,'报价表-配送'!$B$32:$I$37,3,0)*1000+IF(AND(MOD(H3207,30)&lt;0.02),H3207,0)*VLOOKUP(D3207,'报价表-配送'!$B$32:$I$37,2,0)*1000</f>
        <v>0</v>
      </c>
      <c r="N3207" s="127">
        <f t="shared" si="157"/>
        <v>0</v>
      </c>
    </row>
    <row r="3208" spans="1:14" x14ac:dyDescent="0.25">
      <c r="A3208" s="121" t="s">
        <v>81</v>
      </c>
      <c r="B3208" s="121" t="s">
        <v>162</v>
      </c>
      <c r="C3208" s="62">
        <f>VLOOKUP(B3208,合并仓明细!$D$2:$F$74,3,0)</f>
        <v>49</v>
      </c>
      <c r="D3208" s="122" t="s">
        <v>393</v>
      </c>
      <c r="E3208" s="123">
        <v>46007</v>
      </c>
      <c r="F3208" s="121" t="s">
        <v>66</v>
      </c>
      <c r="G3208" s="121">
        <v>139.80833333999999</v>
      </c>
      <c r="H3208" s="124">
        <v>0.13980833333999998</v>
      </c>
      <c r="I3208" s="125"/>
      <c r="J3208" s="125"/>
      <c r="K3208" s="125"/>
      <c r="L3208" s="37">
        <f>IF(H3208&gt;30,QUOTIENT(H3208,30)*VLOOKUP(D3208,'报价表-配送'!$B$32:$I$37,8,0),0)+IF(AND(MOD(H3208,30)&gt;18,MOD(H3208,30)&lt;=30),1,0)*VLOOKUP(D3208,'报价表-配送'!$B$32:$I$37,8,0)+IF(AND(MOD(H3208,30)&gt;8,MOD(H3208,30)&lt;=18),1*VLOOKUP(D3208,'报价表-配送'!$B$32:$I$37,7,0),0)+IF(AND(MOD(H3208,30)&lt;=8,MOD(H3208,30)&gt;2.5),1,0)*VLOOKUP(D3208,'报价表-配送'!$B$32:$I$37,6,0)+IF(AND(MOD(H3208,30)&lt;=2.5,MOD(H3208,30)&gt;=1.5),1,0)*VLOOKUP(D3208,'报价表-配送'!$B$32:$I$37,5,0)</f>
        <v>0</v>
      </c>
      <c r="M3208" s="39">
        <f>IF(AND(MOD(H3208,30)&lt;1.5,MOD(H3208,30)&gt;=0.5),H3208,0)*VLOOKUP(D3208,'报价表-配送'!$B$32:$I$37,4,0)*1000+IF(AND(MOD(H3208,30)&lt;0.5,MOD(H3208,30)&gt;=0.02),H3208,0)*VLOOKUP(D3208,'报价表-配送'!$B$32:$I$37,3,0)*1000+IF(AND(MOD(H3208,30)&lt;0.02),H3208,0)*VLOOKUP(D3208,'报价表-配送'!$B$32:$I$37,2,0)*1000</f>
        <v>0</v>
      </c>
      <c r="N3208" s="127">
        <f t="shared" si="157"/>
        <v>0</v>
      </c>
    </row>
    <row r="3209" spans="1:14" x14ac:dyDescent="0.25">
      <c r="A3209" s="121" t="s">
        <v>81</v>
      </c>
      <c r="B3209" s="121" t="s">
        <v>165</v>
      </c>
      <c r="C3209" s="62">
        <f>VLOOKUP(B3209,合并仓明细!$D$2:$F$74,3,0)</f>
        <v>234</v>
      </c>
      <c r="D3209" s="122" t="s">
        <v>414</v>
      </c>
      <c r="E3209" s="123">
        <v>46038</v>
      </c>
      <c r="F3209" s="121" t="s">
        <v>66</v>
      </c>
      <c r="G3209" s="121">
        <v>78.22</v>
      </c>
      <c r="H3209" s="124">
        <v>7.8219999999999998E-2</v>
      </c>
      <c r="I3209" s="125"/>
      <c r="J3209" s="125"/>
      <c r="K3209" s="125"/>
      <c r="L3209" s="37">
        <f>IF(H3209&gt;30,QUOTIENT(H3209,30)*VLOOKUP(D3209,'报价表-配送'!$B$32:$I$37,8,0),0)+IF(AND(MOD(H3209,30)&gt;18,MOD(H3209,30)&lt;=30),1,0)*VLOOKUP(D3209,'报价表-配送'!$B$32:$I$37,8,0)+IF(AND(MOD(H3209,30)&gt;8,MOD(H3209,30)&lt;=18),1*VLOOKUP(D3209,'报价表-配送'!$B$32:$I$37,7,0),0)+IF(AND(MOD(H3209,30)&lt;=8,MOD(H3209,30)&gt;2.5),1,0)*VLOOKUP(D3209,'报价表-配送'!$B$32:$I$37,6,0)+IF(AND(MOD(H3209,30)&lt;=2.5,MOD(H3209,30)&gt;=1.5),1,0)*VLOOKUP(D3209,'报价表-配送'!$B$32:$I$37,5,0)</f>
        <v>0</v>
      </c>
      <c r="M3209" s="39">
        <f>IF(AND(MOD(H3209,30)&lt;1.5,MOD(H3209,30)&gt;=0.5),H3209,0)*VLOOKUP(D3209,'报价表-配送'!$B$32:$I$37,4,0)*1000+IF(AND(MOD(H3209,30)&lt;0.5,MOD(H3209,30)&gt;=0.02),H3209,0)*VLOOKUP(D3209,'报价表-配送'!$B$32:$I$37,3,0)*1000+IF(AND(MOD(H3209,30)&lt;0.02),H3209,0)*VLOOKUP(D3209,'报价表-配送'!$B$32:$I$37,2,0)*1000</f>
        <v>0</v>
      </c>
      <c r="N3209" s="127">
        <f t="shared" si="157"/>
        <v>0</v>
      </c>
    </row>
    <row r="3210" spans="1:14" x14ac:dyDescent="0.25">
      <c r="A3210" s="121" t="s">
        <v>81</v>
      </c>
      <c r="B3210" s="121" t="s">
        <v>165</v>
      </c>
      <c r="C3210" s="62">
        <f>VLOOKUP(B3210,合并仓明细!$D$2:$F$74,3,0)</f>
        <v>234</v>
      </c>
      <c r="D3210" s="122" t="s">
        <v>414</v>
      </c>
      <c r="E3210" s="123">
        <v>46052</v>
      </c>
      <c r="F3210" s="121" t="s">
        <v>66</v>
      </c>
      <c r="G3210" s="121">
        <v>13.02</v>
      </c>
      <c r="H3210" s="124">
        <v>1.302E-2</v>
      </c>
      <c r="I3210" s="125"/>
      <c r="J3210" s="125"/>
      <c r="K3210" s="125"/>
      <c r="L3210" s="37">
        <f>IF(H3210&gt;30,QUOTIENT(H3210,30)*VLOOKUP(D3210,'报价表-配送'!$B$32:$I$37,8,0),0)+IF(AND(MOD(H3210,30)&gt;18,MOD(H3210,30)&lt;=30),1,0)*VLOOKUP(D3210,'报价表-配送'!$B$32:$I$37,8,0)+IF(AND(MOD(H3210,30)&gt;8,MOD(H3210,30)&lt;=18),1*VLOOKUP(D3210,'报价表-配送'!$B$32:$I$37,7,0),0)+IF(AND(MOD(H3210,30)&lt;=8,MOD(H3210,30)&gt;2.5),1,0)*VLOOKUP(D3210,'报价表-配送'!$B$32:$I$37,6,0)+IF(AND(MOD(H3210,30)&lt;=2.5,MOD(H3210,30)&gt;=1.5),1,0)*VLOOKUP(D3210,'报价表-配送'!$B$32:$I$37,5,0)</f>
        <v>0</v>
      </c>
      <c r="M3210" s="39">
        <f>IF(AND(MOD(H3210,30)&lt;1.5,MOD(H3210,30)&gt;=0.5),H3210,0)*VLOOKUP(D3210,'报价表-配送'!$B$32:$I$37,4,0)*1000+IF(AND(MOD(H3210,30)&lt;0.5,MOD(H3210,30)&gt;=0.02),H3210,0)*VLOOKUP(D3210,'报价表-配送'!$B$32:$I$37,3,0)*1000+IF(AND(MOD(H3210,30)&lt;0.02),H3210,0)*VLOOKUP(D3210,'报价表-配送'!$B$32:$I$37,2,0)*1000</f>
        <v>0</v>
      </c>
      <c r="N3210" s="127">
        <f t="shared" si="157"/>
        <v>0</v>
      </c>
    </row>
    <row r="3211" spans="1:14" x14ac:dyDescent="0.25">
      <c r="A3211" s="121" t="s">
        <v>83</v>
      </c>
      <c r="B3211" s="121" t="s">
        <v>143</v>
      </c>
      <c r="C3211" s="62">
        <f>VLOOKUP(B3211,合并仓明细!$D$2:$F$74,3,0)</f>
        <v>131</v>
      </c>
      <c r="D3211" s="122" t="s">
        <v>413</v>
      </c>
      <c r="E3211" s="123">
        <v>45940</v>
      </c>
      <c r="F3211" s="121" t="s">
        <v>68</v>
      </c>
      <c r="G3211" s="121">
        <v>4964.6139600000006</v>
      </c>
      <c r="H3211" s="124">
        <v>21.577497369859998</v>
      </c>
      <c r="I3211" s="46">
        <f>ROUNDUP(H3211/30,0)*VLOOKUP(D3211,'报价表-配送'!$B$9:$I$13,8,0)</f>
        <v>0</v>
      </c>
      <c r="J3211" s="125"/>
      <c r="K3211" s="125"/>
      <c r="L3211" s="121"/>
      <c r="M3211" s="126"/>
      <c r="N3211" s="127">
        <f t="shared" si="157"/>
        <v>0</v>
      </c>
    </row>
    <row r="3212" spans="1:14" x14ac:dyDescent="0.25">
      <c r="A3212" s="121" t="s">
        <v>83</v>
      </c>
      <c r="B3212" s="121" t="s">
        <v>143</v>
      </c>
      <c r="C3212" s="62">
        <f>VLOOKUP(B3212,合并仓明细!$D$2:$F$74,3,0)</f>
        <v>131</v>
      </c>
      <c r="D3212" s="122" t="s">
        <v>413</v>
      </c>
      <c r="E3212" s="123">
        <v>45940</v>
      </c>
      <c r="F3212" s="121" t="s">
        <v>67</v>
      </c>
      <c r="G3212" s="121">
        <v>10189.748147999999</v>
      </c>
      <c r="H3212" s="124"/>
      <c r="I3212" s="125"/>
      <c r="J3212" s="125"/>
      <c r="K3212" s="125"/>
      <c r="L3212" s="121"/>
      <c r="M3212" s="126"/>
      <c r="N3212" s="121"/>
    </row>
    <row r="3213" spans="1:14" x14ac:dyDescent="0.25">
      <c r="A3213" s="121" t="s">
        <v>83</v>
      </c>
      <c r="B3213" s="121" t="s">
        <v>143</v>
      </c>
      <c r="C3213" s="62">
        <f>VLOOKUP(B3213,合并仓明细!$D$2:$F$74,3,0)</f>
        <v>131</v>
      </c>
      <c r="D3213" s="122" t="s">
        <v>413</v>
      </c>
      <c r="E3213" s="123">
        <v>45940</v>
      </c>
      <c r="F3213" s="121" t="s">
        <v>66</v>
      </c>
      <c r="G3213" s="121">
        <v>6423.1352618599985</v>
      </c>
      <c r="H3213" s="124"/>
      <c r="I3213" s="125"/>
      <c r="J3213" s="125"/>
      <c r="K3213" s="125"/>
      <c r="L3213" s="121"/>
      <c r="M3213" s="126"/>
      <c r="N3213" s="121"/>
    </row>
    <row r="3214" spans="1:14" x14ac:dyDescent="0.25">
      <c r="A3214" s="121" t="s">
        <v>83</v>
      </c>
      <c r="B3214" s="121" t="s">
        <v>143</v>
      </c>
      <c r="C3214" s="62">
        <f>VLOOKUP(B3214,合并仓明细!$D$2:$F$74,3,0)</f>
        <v>131</v>
      </c>
      <c r="D3214" s="122" t="s">
        <v>413</v>
      </c>
      <c r="E3214" s="123">
        <v>45943</v>
      </c>
      <c r="F3214" s="121" t="s">
        <v>68</v>
      </c>
      <c r="G3214" s="121">
        <v>3302.7791999999999</v>
      </c>
      <c r="H3214" s="124">
        <v>23.368423432899995</v>
      </c>
      <c r="I3214" s="46">
        <f>ROUNDUP(H3214/30,0)*VLOOKUP(D3214,'报价表-配送'!$B$9:$I$13,8,0)</f>
        <v>0</v>
      </c>
      <c r="J3214" s="125"/>
      <c r="K3214" s="125"/>
      <c r="L3214" s="121"/>
      <c r="M3214" s="126"/>
      <c r="N3214" s="127">
        <f t="shared" ref="N3214" si="158">SUM(I3214:L3214)</f>
        <v>0</v>
      </c>
    </row>
    <row r="3215" spans="1:14" x14ac:dyDescent="0.25">
      <c r="A3215" s="121" t="s">
        <v>83</v>
      </c>
      <c r="B3215" s="121" t="s">
        <v>143</v>
      </c>
      <c r="C3215" s="62">
        <f>VLOOKUP(B3215,合并仓明细!$D$2:$F$74,3,0)</f>
        <v>131</v>
      </c>
      <c r="D3215" s="122" t="s">
        <v>413</v>
      </c>
      <c r="E3215" s="123">
        <v>45943</v>
      </c>
      <c r="F3215" s="121" t="s">
        <v>67</v>
      </c>
      <c r="G3215" s="121">
        <v>11726.250468</v>
      </c>
      <c r="H3215" s="124"/>
      <c r="I3215" s="125"/>
      <c r="J3215" s="125"/>
      <c r="K3215" s="125"/>
      <c r="L3215" s="121"/>
      <c r="M3215" s="126"/>
      <c r="N3215" s="121"/>
    </row>
    <row r="3216" spans="1:14" x14ac:dyDescent="0.25">
      <c r="A3216" s="121" t="s">
        <v>83</v>
      </c>
      <c r="B3216" s="121" t="s">
        <v>143</v>
      </c>
      <c r="C3216" s="62">
        <f>VLOOKUP(B3216,合并仓明细!$D$2:$F$74,3,0)</f>
        <v>131</v>
      </c>
      <c r="D3216" s="122" t="s">
        <v>413</v>
      </c>
      <c r="E3216" s="123">
        <v>45943</v>
      </c>
      <c r="F3216" s="121" t="s">
        <v>66</v>
      </c>
      <c r="G3216" s="121">
        <v>8339.3937648999981</v>
      </c>
      <c r="H3216" s="124"/>
      <c r="I3216" s="125"/>
      <c r="J3216" s="125"/>
      <c r="K3216" s="125"/>
      <c r="L3216" s="121"/>
      <c r="M3216" s="126"/>
      <c r="N3216" s="121"/>
    </row>
    <row r="3217" spans="1:14" x14ac:dyDescent="0.25">
      <c r="A3217" s="121" t="s">
        <v>83</v>
      </c>
      <c r="B3217" s="121" t="s">
        <v>143</v>
      </c>
      <c r="C3217" s="62">
        <f>VLOOKUP(B3217,合并仓明细!$D$2:$F$74,3,0)</f>
        <v>131</v>
      </c>
      <c r="D3217" s="122" t="s">
        <v>413</v>
      </c>
      <c r="E3217" s="123">
        <v>45945</v>
      </c>
      <c r="F3217" s="121" t="s">
        <v>67</v>
      </c>
      <c r="G3217" s="121">
        <v>9445.1779720000013</v>
      </c>
      <c r="H3217" s="124">
        <v>10.351300138650002</v>
      </c>
      <c r="I3217" s="38">
        <f>IF(H3217&gt;30,QUOTIENT(H3217,30)*VLOOKUP(D3217,'报价表-配送'!$B$9:$I$13,8,0),0)+IF(AND(MOD(H3217,30)&gt;18,MOD(H3217,30)&lt;=30),1,0)*VLOOKUP(D3217,'报价表-配送'!$B$9:$I$13,8,0)</f>
        <v>0</v>
      </c>
      <c r="J3217" s="38">
        <f>IF(AND(MOD(H3217,30)&gt;8,MOD(H3217,30)&lt;=18),1*VLOOKUP(D3217,'报价表-配送'!$B$9:$I$13,7,0),0)</f>
        <v>0</v>
      </c>
      <c r="K3217" s="38">
        <f>IF(AND(MOD(H3217,30)&lt;=8,MOD(H3217,30)&gt;0),1,0)*VLOOKUP(D3217,'报价表-配送'!$B$9:$I$13,6,0)</f>
        <v>0</v>
      </c>
      <c r="L3217" s="121"/>
      <c r="M3217" s="126"/>
      <c r="N3217" s="127">
        <f t="shared" ref="N3217" si="159">SUM(I3217:L3217)</f>
        <v>0</v>
      </c>
    </row>
    <row r="3218" spans="1:14" x14ac:dyDescent="0.25">
      <c r="A3218" s="121" t="s">
        <v>83</v>
      </c>
      <c r="B3218" s="121" t="s">
        <v>143</v>
      </c>
      <c r="C3218" s="62">
        <f>VLOOKUP(B3218,合并仓明细!$D$2:$F$74,3,0)</f>
        <v>131</v>
      </c>
      <c r="D3218" s="122" t="s">
        <v>413</v>
      </c>
      <c r="E3218" s="123">
        <v>45945</v>
      </c>
      <c r="F3218" s="121" t="s">
        <v>66</v>
      </c>
      <c r="G3218" s="121">
        <v>906.12216665000005</v>
      </c>
      <c r="H3218" s="124"/>
      <c r="I3218" s="125"/>
      <c r="J3218" s="125"/>
      <c r="K3218" s="125"/>
      <c r="L3218" s="121"/>
      <c r="M3218" s="126"/>
      <c r="N3218" s="121"/>
    </row>
    <row r="3219" spans="1:14" x14ac:dyDescent="0.25">
      <c r="A3219" s="121" t="s">
        <v>83</v>
      </c>
      <c r="B3219" s="121" t="s">
        <v>143</v>
      </c>
      <c r="C3219" s="62">
        <f>VLOOKUP(B3219,合并仓明细!$D$2:$F$74,3,0)</f>
        <v>131</v>
      </c>
      <c r="D3219" s="122" t="s">
        <v>413</v>
      </c>
      <c r="E3219" s="123">
        <v>45946</v>
      </c>
      <c r="F3219" s="121" t="s">
        <v>68</v>
      </c>
      <c r="G3219" s="121">
        <v>1015.722432</v>
      </c>
      <c r="H3219" s="124">
        <v>4.5794243953400002</v>
      </c>
      <c r="I3219" s="46">
        <f>ROUNDUP(H3219/30,0)*VLOOKUP(D3219,'报价表-配送'!$B$9:$I$13,8,0)</f>
        <v>0</v>
      </c>
      <c r="J3219" s="125"/>
      <c r="K3219" s="125"/>
      <c r="L3219" s="121"/>
      <c r="M3219" s="126"/>
      <c r="N3219" s="127">
        <f t="shared" ref="N3219" si="160">SUM(I3219:L3219)</f>
        <v>0</v>
      </c>
    </row>
    <row r="3220" spans="1:14" x14ac:dyDescent="0.25">
      <c r="A3220" s="121" t="s">
        <v>83</v>
      </c>
      <c r="B3220" s="121" t="s">
        <v>143</v>
      </c>
      <c r="C3220" s="62">
        <f>VLOOKUP(B3220,合并仓明细!$D$2:$F$74,3,0)</f>
        <v>131</v>
      </c>
      <c r="D3220" s="122" t="s">
        <v>413</v>
      </c>
      <c r="E3220" s="123">
        <v>45946</v>
      </c>
      <c r="F3220" s="121" t="s">
        <v>67</v>
      </c>
      <c r="G3220" s="121">
        <v>931.66662999999994</v>
      </c>
      <c r="H3220" s="124"/>
      <c r="I3220" s="125"/>
      <c r="J3220" s="125"/>
      <c r="K3220" s="125"/>
      <c r="L3220" s="121"/>
      <c r="M3220" s="126"/>
      <c r="N3220" s="121"/>
    </row>
    <row r="3221" spans="1:14" x14ac:dyDescent="0.25">
      <c r="A3221" s="121" t="s">
        <v>83</v>
      </c>
      <c r="B3221" s="121" t="s">
        <v>143</v>
      </c>
      <c r="C3221" s="62">
        <f>VLOOKUP(B3221,合并仓明细!$D$2:$F$74,3,0)</f>
        <v>131</v>
      </c>
      <c r="D3221" s="122" t="s">
        <v>413</v>
      </c>
      <c r="E3221" s="123">
        <v>45946</v>
      </c>
      <c r="F3221" s="121" t="s">
        <v>66</v>
      </c>
      <c r="G3221" s="121">
        <v>2632.0353333399999</v>
      </c>
      <c r="H3221" s="124"/>
      <c r="I3221" s="125"/>
      <c r="J3221" s="125"/>
      <c r="K3221" s="125"/>
      <c r="L3221" s="121"/>
      <c r="M3221" s="126"/>
      <c r="N3221" s="121"/>
    </row>
    <row r="3222" spans="1:14" x14ac:dyDescent="0.25">
      <c r="A3222" s="121" t="s">
        <v>83</v>
      </c>
      <c r="B3222" s="121" t="s">
        <v>143</v>
      </c>
      <c r="C3222" s="62">
        <f>VLOOKUP(B3222,合并仓明细!$D$2:$F$74,3,0)</f>
        <v>131</v>
      </c>
      <c r="D3222" s="122" t="s">
        <v>413</v>
      </c>
      <c r="E3222" s="123">
        <v>45947</v>
      </c>
      <c r="F3222" s="121" t="s">
        <v>66</v>
      </c>
      <c r="G3222" s="121">
        <v>37.63333334</v>
      </c>
      <c r="H3222" s="124">
        <v>3.7633333339999998E-2</v>
      </c>
      <c r="I3222" s="125"/>
      <c r="J3222" s="125"/>
      <c r="K3222" s="125"/>
      <c r="L3222" s="37">
        <f>IF(H3222&gt;30,QUOTIENT(H3222,30)*VLOOKUP(D3222,'报价表-配送'!$B$9:$I$13,8,0),0)+IF(AND(MOD(H3222,30)&gt;18,MOD(H3222,30)&lt;=30),1,0)*VLOOKUP(D3222,'报价表-配送'!$B$9:$I$13,8,0)+IF(AND(MOD(H3222,30)&gt;8,MOD(H3222,30)&lt;=18),1*VLOOKUP(D3222,'报价表-配送'!$B$9:$I$13,7,0),0)+IF(AND(MOD(H3222,30)&lt;=8,MOD(H3222,30)&gt;2.5),1,0)*VLOOKUP(D3222,'报价表-配送'!$B$9:$I$13,6,0)+IF(AND(MOD(H3222,30)&lt;=2.5,MOD(H3222,30)&gt;=1.5),1,0)*VLOOKUP(D3222,'报价表-配送'!$B$9:$I$13,5,0)</f>
        <v>0</v>
      </c>
      <c r="M3222" s="39">
        <f>IF(AND(MOD(H3222,30)&lt;1.5,MOD(H3222,30)&gt;=0.5),H3222,0)*VLOOKUP(D3222,'报价表-配送'!$B$9:$I$13,4,0)*1000+IF(AND(MOD(H3222,30)&lt;0.5,MOD(H3222,30)&gt;=0.02),H3222,0)*VLOOKUP(D3222,'报价表-配送'!$B$9:$I$13,3,0)*1000+IF(AND(MOD(H3222,30)&lt;0.02),H3222,0)*VLOOKUP(D3222,'报价表-配送'!$B$9:$I$13,2,0)*1000</f>
        <v>0</v>
      </c>
      <c r="N3222" s="127">
        <f t="shared" ref="N3222:N3223" si="161">SUM(I3222:L3222)</f>
        <v>0</v>
      </c>
    </row>
    <row r="3223" spans="1:14" x14ac:dyDescent="0.25">
      <c r="A3223" s="121" t="s">
        <v>83</v>
      </c>
      <c r="B3223" s="121" t="s">
        <v>143</v>
      </c>
      <c r="C3223" s="62">
        <f>VLOOKUP(B3223,合并仓明细!$D$2:$F$74,3,0)</f>
        <v>131</v>
      </c>
      <c r="D3223" s="122" t="s">
        <v>413</v>
      </c>
      <c r="E3223" s="123">
        <v>45951</v>
      </c>
      <c r="F3223" s="121" t="s">
        <v>68</v>
      </c>
      <c r="G3223" s="121">
        <v>333.78201200000001</v>
      </c>
      <c r="H3223" s="124">
        <v>3.7621634623600002</v>
      </c>
      <c r="I3223" s="46">
        <f>ROUNDUP(H3223/30,0)*VLOOKUP(D3223,'报价表-配送'!$B$9:$I$13,8,0)</f>
        <v>0</v>
      </c>
      <c r="J3223" s="125"/>
      <c r="K3223" s="125"/>
      <c r="L3223" s="121"/>
      <c r="M3223" s="126"/>
      <c r="N3223" s="127">
        <f t="shared" si="161"/>
        <v>0</v>
      </c>
    </row>
    <row r="3224" spans="1:14" x14ac:dyDescent="0.25">
      <c r="A3224" s="121" t="s">
        <v>83</v>
      </c>
      <c r="B3224" s="121" t="s">
        <v>143</v>
      </c>
      <c r="C3224" s="62">
        <f>VLOOKUP(B3224,合并仓明细!$D$2:$F$74,3,0)</f>
        <v>131</v>
      </c>
      <c r="D3224" s="122" t="s">
        <v>413</v>
      </c>
      <c r="E3224" s="123">
        <v>45951</v>
      </c>
      <c r="F3224" s="121" t="s">
        <v>67</v>
      </c>
      <c r="G3224" s="121">
        <v>957.7383440000001</v>
      </c>
      <c r="H3224" s="124"/>
      <c r="I3224" s="125"/>
      <c r="J3224" s="125"/>
      <c r="K3224" s="125"/>
      <c r="L3224" s="121"/>
      <c r="M3224" s="126"/>
      <c r="N3224" s="121"/>
    </row>
    <row r="3225" spans="1:14" x14ac:dyDescent="0.25">
      <c r="A3225" s="121" t="s">
        <v>83</v>
      </c>
      <c r="B3225" s="121" t="s">
        <v>143</v>
      </c>
      <c r="C3225" s="62">
        <f>VLOOKUP(B3225,合并仓明细!$D$2:$F$74,3,0)</f>
        <v>131</v>
      </c>
      <c r="D3225" s="122" t="s">
        <v>413</v>
      </c>
      <c r="E3225" s="123">
        <v>45951</v>
      </c>
      <c r="F3225" s="121" t="s">
        <v>66</v>
      </c>
      <c r="G3225" s="121">
        <v>2470.6431063600003</v>
      </c>
      <c r="H3225" s="124"/>
      <c r="I3225" s="125"/>
      <c r="J3225" s="125"/>
      <c r="K3225" s="125"/>
      <c r="L3225" s="121"/>
      <c r="M3225" s="126"/>
      <c r="N3225" s="121"/>
    </row>
    <row r="3226" spans="1:14" x14ac:dyDescent="0.25">
      <c r="A3226" s="121" t="s">
        <v>83</v>
      </c>
      <c r="B3226" s="121" t="s">
        <v>143</v>
      </c>
      <c r="C3226" s="62">
        <f>VLOOKUP(B3226,合并仓明细!$D$2:$F$74,3,0)</f>
        <v>131</v>
      </c>
      <c r="D3226" s="122" t="s">
        <v>413</v>
      </c>
      <c r="E3226" s="123">
        <v>45952</v>
      </c>
      <c r="F3226" s="121" t="s">
        <v>67</v>
      </c>
      <c r="G3226" s="121">
        <v>1143.9276</v>
      </c>
      <c r="H3226" s="124">
        <v>1.2576661416100001</v>
      </c>
      <c r="I3226" s="38">
        <f>IF(H3226&gt;30,QUOTIENT(H3226,30)*VLOOKUP(D3226,'报价表-配送'!$B$9:$I$13,8,0),0)+IF(AND(MOD(H3226,30)&gt;18,MOD(H3226,30)&lt;=30),1,0)*VLOOKUP(D3226,'报价表-配送'!$B$9:$I$13,8,0)</f>
        <v>0</v>
      </c>
      <c r="J3226" s="38">
        <f>IF(AND(MOD(H3226,30)&gt;8,MOD(H3226,30)&lt;=18),1*VLOOKUP(D3226,'报价表-配送'!$B$9:$I$13,7,0),0)</f>
        <v>0</v>
      </c>
      <c r="K3226" s="38">
        <f>IF(AND(MOD(H3226,30)&lt;=8,MOD(H3226,30)&gt;0),1,0)*VLOOKUP(D3226,'报价表-配送'!$B$9:$I$13,6,0)</f>
        <v>0</v>
      </c>
      <c r="L3226" s="121"/>
      <c r="M3226" s="126"/>
      <c r="N3226" s="127">
        <f t="shared" ref="N3226" si="162">SUM(I3226:L3226)</f>
        <v>0</v>
      </c>
    </row>
    <row r="3227" spans="1:14" x14ac:dyDescent="0.25">
      <c r="A3227" s="121" t="s">
        <v>83</v>
      </c>
      <c r="B3227" s="121" t="s">
        <v>143</v>
      </c>
      <c r="C3227" s="62">
        <f>VLOOKUP(B3227,合并仓明细!$D$2:$F$74,3,0)</f>
        <v>131</v>
      </c>
      <c r="D3227" s="122" t="s">
        <v>413</v>
      </c>
      <c r="E3227" s="123">
        <v>45952</v>
      </c>
      <c r="F3227" s="121" t="s">
        <v>66</v>
      </c>
      <c r="G3227" s="121">
        <v>113.73854161000001</v>
      </c>
      <c r="H3227" s="124"/>
      <c r="I3227" s="125"/>
      <c r="J3227" s="125"/>
      <c r="K3227" s="125"/>
      <c r="L3227" s="121"/>
      <c r="M3227" s="126"/>
      <c r="N3227" s="121"/>
    </row>
    <row r="3228" spans="1:14" x14ac:dyDescent="0.25">
      <c r="A3228" s="121" t="s">
        <v>83</v>
      </c>
      <c r="B3228" s="121" t="s">
        <v>143</v>
      </c>
      <c r="C3228" s="62">
        <f>VLOOKUP(B3228,合并仓明细!$D$2:$F$74,3,0)</f>
        <v>131</v>
      </c>
      <c r="D3228" s="122" t="s">
        <v>413</v>
      </c>
      <c r="E3228" s="123">
        <v>45953</v>
      </c>
      <c r="F3228" s="121" t="s">
        <v>67</v>
      </c>
      <c r="G3228" s="121">
        <v>33594.384987099998</v>
      </c>
      <c r="H3228" s="124">
        <v>33.5943849871</v>
      </c>
      <c r="I3228" s="38">
        <f>IF(H3228&gt;30,QUOTIENT(H3228,30)*VLOOKUP(D3228,'报价表-配送'!$B$9:$I$13,8,0),0)+IF(AND(MOD(H3228,30)&gt;18,MOD(H3228,30)&lt;=30),1,0)*VLOOKUP(D3228,'报价表-配送'!$B$9:$I$13,8,0)</f>
        <v>0</v>
      </c>
      <c r="J3228" s="38">
        <f>IF(AND(MOD(H3228,30)&gt;8,MOD(H3228,30)&lt;=18),1*VLOOKUP(D3228,'报价表-配送'!$B$9:$I$13,7,0),0)</f>
        <v>0</v>
      </c>
      <c r="K3228" s="38">
        <f>IF(AND(MOD(H3228,30)&lt;=8,MOD(H3228,30)&gt;0),1,0)*VLOOKUP(D3228,'报价表-配送'!$B$9:$I$13,6,0)</f>
        <v>0</v>
      </c>
      <c r="L3228" s="121"/>
      <c r="M3228" s="126"/>
      <c r="N3228" s="127">
        <f t="shared" ref="N3228:N3229" si="163">SUM(I3228:L3228)</f>
        <v>0</v>
      </c>
    </row>
    <row r="3229" spans="1:14" x14ac:dyDescent="0.25">
      <c r="A3229" s="121" t="s">
        <v>83</v>
      </c>
      <c r="B3229" s="121" t="s">
        <v>143</v>
      </c>
      <c r="C3229" s="62">
        <f>VLOOKUP(B3229,合并仓明细!$D$2:$F$74,3,0)</f>
        <v>131</v>
      </c>
      <c r="D3229" s="122" t="s">
        <v>413</v>
      </c>
      <c r="E3229" s="123">
        <v>45954</v>
      </c>
      <c r="F3229" s="121" t="s">
        <v>68</v>
      </c>
      <c r="G3229" s="121">
        <v>3640.6320000000005</v>
      </c>
      <c r="H3229" s="124">
        <v>4.1221438406600006</v>
      </c>
      <c r="I3229" s="46">
        <f>ROUNDUP(H3229/30,0)*VLOOKUP(D3229,'报价表-配送'!$B$9:$I$13,8,0)</f>
        <v>0</v>
      </c>
      <c r="J3229" s="125"/>
      <c r="K3229" s="125"/>
      <c r="L3229" s="121"/>
      <c r="M3229" s="126"/>
      <c r="N3229" s="127">
        <f t="shared" si="163"/>
        <v>0</v>
      </c>
    </row>
    <row r="3230" spans="1:14" x14ac:dyDescent="0.25">
      <c r="A3230" s="121" t="s">
        <v>83</v>
      </c>
      <c r="B3230" s="121" t="s">
        <v>143</v>
      </c>
      <c r="C3230" s="62">
        <f>VLOOKUP(B3230,合并仓明细!$D$2:$F$74,3,0)</f>
        <v>131</v>
      </c>
      <c r="D3230" s="122" t="s">
        <v>413</v>
      </c>
      <c r="E3230" s="123">
        <v>45954</v>
      </c>
      <c r="F3230" s="121" t="s">
        <v>67</v>
      </c>
      <c r="G3230" s="121">
        <v>16.019424000000001</v>
      </c>
      <c r="H3230" s="124"/>
      <c r="I3230" s="125"/>
      <c r="J3230" s="125"/>
      <c r="K3230" s="125"/>
      <c r="L3230" s="121"/>
      <c r="M3230" s="126"/>
      <c r="N3230" s="121"/>
    </row>
    <row r="3231" spans="1:14" x14ac:dyDescent="0.25">
      <c r="A3231" s="121" t="s">
        <v>83</v>
      </c>
      <c r="B3231" s="121" t="s">
        <v>143</v>
      </c>
      <c r="C3231" s="62">
        <f>VLOOKUP(B3231,合并仓明细!$D$2:$F$74,3,0)</f>
        <v>131</v>
      </c>
      <c r="D3231" s="122" t="s">
        <v>413</v>
      </c>
      <c r="E3231" s="123">
        <v>45954</v>
      </c>
      <c r="F3231" s="121" t="s">
        <v>66</v>
      </c>
      <c r="G3231" s="121">
        <v>465.49241666</v>
      </c>
      <c r="H3231" s="124"/>
      <c r="I3231" s="125"/>
      <c r="J3231" s="125"/>
      <c r="K3231" s="125"/>
      <c r="L3231" s="121"/>
      <c r="M3231" s="126"/>
      <c r="N3231" s="121"/>
    </row>
    <row r="3232" spans="1:14" x14ac:dyDescent="0.25">
      <c r="A3232" s="121" t="s">
        <v>83</v>
      </c>
      <c r="B3232" s="121" t="s">
        <v>143</v>
      </c>
      <c r="C3232" s="62">
        <f>VLOOKUP(B3232,合并仓明细!$D$2:$F$74,3,0)</f>
        <v>131</v>
      </c>
      <c r="D3232" s="122" t="s">
        <v>413</v>
      </c>
      <c r="E3232" s="123">
        <v>45957</v>
      </c>
      <c r="F3232" s="121" t="s">
        <v>66</v>
      </c>
      <c r="G3232" s="121">
        <v>417.69416667000002</v>
      </c>
      <c r="H3232" s="124">
        <v>0.41769416667000003</v>
      </c>
      <c r="I3232" s="125"/>
      <c r="J3232" s="125"/>
      <c r="K3232" s="125"/>
      <c r="L3232" s="37">
        <f>IF(H3232&gt;30,QUOTIENT(H3232,30)*VLOOKUP(D3232,'报价表-配送'!$B$9:$I$13,8,0),0)+IF(AND(MOD(H3232,30)&gt;18,MOD(H3232,30)&lt;=30),1,0)*VLOOKUP(D3232,'报价表-配送'!$B$9:$I$13,8,0)+IF(AND(MOD(H3232,30)&gt;8,MOD(H3232,30)&lt;=18),1*VLOOKUP(D3232,'报价表-配送'!$B$9:$I$13,7,0),0)+IF(AND(MOD(H3232,30)&lt;=8,MOD(H3232,30)&gt;2.5),1,0)*VLOOKUP(D3232,'报价表-配送'!$B$9:$I$13,6,0)+IF(AND(MOD(H3232,30)&lt;=2.5,MOD(H3232,30)&gt;=1.5),1,0)*VLOOKUP(D3232,'报价表-配送'!$B$9:$I$13,5,0)</f>
        <v>0</v>
      </c>
      <c r="M3232" s="39">
        <f>IF(AND(MOD(H3232,30)&lt;1.5,MOD(H3232,30)&gt;=0.5),H3232,0)*VLOOKUP(D3232,'报价表-配送'!$B$9:$I$13,4,0)*1000+IF(AND(MOD(H3232,30)&lt;0.5,MOD(H3232,30)&gt;=0.02),H3232,0)*VLOOKUP(D3232,'报价表-配送'!$B$9:$I$13,3,0)*1000+IF(AND(MOD(H3232,30)&lt;0.02),H3232,0)*VLOOKUP(D3232,'报价表-配送'!$B$9:$I$13,2,0)*1000</f>
        <v>0</v>
      </c>
      <c r="N3232" s="127">
        <f t="shared" ref="N3232:N3234" si="164">SUM(I3232:L3232)</f>
        <v>0</v>
      </c>
    </row>
    <row r="3233" spans="1:14" x14ac:dyDescent="0.25">
      <c r="A3233" s="121" t="s">
        <v>83</v>
      </c>
      <c r="B3233" s="121" t="s">
        <v>143</v>
      </c>
      <c r="C3233" s="62">
        <f>VLOOKUP(B3233,合并仓明细!$D$2:$F$74,3,0)</f>
        <v>131</v>
      </c>
      <c r="D3233" s="122" t="s">
        <v>413</v>
      </c>
      <c r="E3233" s="123">
        <v>45963</v>
      </c>
      <c r="F3233" s="121" t="s">
        <v>67</v>
      </c>
      <c r="G3233" s="121">
        <v>16852.404825999998</v>
      </c>
      <c r="H3233" s="124">
        <v>16.852404825999997</v>
      </c>
      <c r="I3233" s="38">
        <f>IF(H3233&gt;30,QUOTIENT(H3233,30)*VLOOKUP(D3233,'报价表-配送'!$B$9:$I$13,8,0),0)+IF(AND(MOD(H3233,30)&gt;18,MOD(H3233,30)&lt;=30),1,0)*VLOOKUP(D3233,'报价表-配送'!$B$9:$I$13,8,0)</f>
        <v>0</v>
      </c>
      <c r="J3233" s="38">
        <f>IF(AND(MOD(H3233,30)&gt;8,MOD(H3233,30)&lt;=18),1*VLOOKUP(D3233,'报价表-配送'!$B$9:$I$13,7,0),0)</f>
        <v>0</v>
      </c>
      <c r="K3233" s="38">
        <f>IF(AND(MOD(H3233,30)&lt;=8,MOD(H3233,30)&gt;0),1,0)*VLOOKUP(D3233,'报价表-配送'!$B$9:$I$13,6,0)</f>
        <v>0</v>
      </c>
      <c r="L3233" s="121"/>
      <c r="M3233" s="126"/>
      <c r="N3233" s="127">
        <f t="shared" si="164"/>
        <v>0</v>
      </c>
    </row>
    <row r="3234" spans="1:14" x14ac:dyDescent="0.25">
      <c r="A3234" s="121" t="s">
        <v>83</v>
      </c>
      <c r="B3234" s="121" t="s">
        <v>143</v>
      </c>
      <c r="C3234" s="62">
        <f>VLOOKUP(B3234,合并仓明细!$D$2:$F$74,3,0)</f>
        <v>131</v>
      </c>
      <c r="D3234" s="122" t="s">
        <v>413</v>
      </c>
      <c r="E3234" s="123">
        <v>45964</v>
      </c>
      <c r="F3234" s="121" t="s">
        <v>67</v>
      </c>
      <c r="G3234" s="121">
        <v>13286.695643999998</v>
      </c>
      <c r="H3234" s="124">
        <v>16.892292643829997</v>
      </c>
      <c r="I3234" s="38">
        <f>IF(H3234&gt;30,QUOTIENT(H3234,30)*VLOOKUP(D3234,'报价表-配送'!$B$9:$I$13,8,0),0)+IF(AND(MOD(H3234,30)&gt;18,MOD(H3234,30)&lt;=30),1,0)*VLOOKUP(D3234,'报价表-配送'!$B$9:$I$13,8,0)</f>
        <v>0</v>
      </c>
      <c r="J3234" s="38">
        <f>IF(AND(MOD(H3234,30)&gt;8,MOD(H3234,30)&lt;=18),1*VLOOKUP(D3234,'报价表-配送'!$B$9:$I$13,7,0),0)</f>
        <v>0</v>
      </c>
      <c r="K3234" s="38">
        <f>IF(AND(MOD(H3234,30)&lt;=8,MOD(H3234,30)&gt;0),1,0)*VLOOKUP(D3234,'报价表-配送'!$B$9:$I$13,6,0)</f>
        <v>0</v>
      </c>
      <c r="L3234" s="121"/>
      <c r="M3234" s="126"/>
      <c r="N3234" s="127">
        <f t="shared" si="164"/>
        <v>0</v>
      </c>
    </row>
    <row r="3235" spans="1:14" x14ac:dyDescent="0.25">
      <c r="A3235" s="121" t="s">
        <v>83</v>
      </c>
      <c r="B3235" s="121" t="s">
        <v>143</v>
      </c>
      <c r="C3235" s="62">
        <f>VLOOKUP(B3235,合并仓明细!$D$2:$F$74,3,0)</f>
        <v>131</v>
      </c>
      <c r="D3235" s="122" t="s">
        <v>413</v>
      </c>
      <c r="E3235" s="123">
        <v>45964</v>
      </c>
      <c r="F3235" s="121" t="s">
        <v>66</v>
      </c>
      <c r="G3235" s="121">
        <v>3605.5969998299988</v>
      </c>
      <c r="H3235" s="124"/>
      <c r="I3235" s="125"/>
      <c r="J3235" s="125"/>
      <c r="K3235" s="125"/>
      <c r="L3235" s="121"/>
      <c r="M3235" s="126"/>
      <c r="N3235" s="121"/>
    </row>
    <row r="3236" spans="1:14" x14ac:dyDescent="0.25">
      <c r="A3236" s="121" t="s">
        <v>83</v>
      </c>
      <c r="B3236" s="121" t="s">
        <v>143</v>
      </c>
      <c r="C3236" s="62">
        <f>VLOOKUP(B3236,合并仓明细!$D$2:$F$74,3,0)</f>
        <v>131</v>
      </c>
      <c r="D3236" s="122" t="s">
        <v>413</v>
      </c>
      <c r="E3236" s="123">
        <v>45965</v>
      </c>
      <c r="F3236" s="121" t="s">
        <v>66</v>
      </c>
      <c r="G3236" s="121">
        <v>72.099999999999994</v>
      </c>
      <c r="H3236" s="124">
        <v>7.2099999999999997E-2</v>
      </c>
      <c r="I3236" s="125"/>
      <c r="J3236" s="125"/>
      <c r="K3236" s="125"/>
      <c r="L3236" s="37">
        <f>IF(H3236&gt;30,QUOTIENT(H3236,30)*VLOOKUP(D3236,'报价表-配送'!$B$9:$I$13,8,0),0)+IF(AND(MOD(H3236,30)&gt;18,MOD(H3236,30)&lt;=30),1,0)*VLOOKUP(D3236,'报价表-配送'!$B$9:$I$13,8,0)+IF(AND(MOD(H3236,30)&gt;8,MOD(H3236,30)&lt;=18),1*VLOOKUP(D3236,'报价表-配送'!$B$9:$I$13,7,0),0)+IF(AND(MOD(H3236,30)&lt;=8,MOD(H3236,30)&gt;2.5),1,0)*VLOOKUP(D3236,'报价表-配送'!$B$9:$I$13,6,0)+IF(AND(MOD(H3236,30)&lt;=2.5,MOD(H3236,30)&gt;=1.5),1,0)*VLOOKUP(D3236,'报价表-配送'!$B$9:$I$13,5,0)</f>
        <v>0</v>
      </c>
      <c r="M3236" s="39">
        <f>IF(AND(MOD(H3236,30)&lt;1.5,MOD(H3236,30)&gt;=0.5),H3236,0)*VLOOKUP(D3236,'报价表-配送'!$B$9:$I$13,4,0)*1000+IF(AND(MOD(H3236,30)&lt;0.5,MOD(H3236,30)&gt;=0.02),H3236,0)*VLOOKUP(D3236,'报价表-配送'!$B$9:$I$13,3,0)*1000+IF(AND(MOD(H3236,30)&lt;0.02),H3236,0)*VLOOKUP(D3236,'报价表-配送'!$B$9:$I$13,2,0)*1000</f>
        <v>0</v>
      </c>
      <c r="N3236" s="127">
        <f t="shared" ref="N3236:N3237" si="165">SUM(I3236:L3236)</f>
        <v>0</v>
      </c>
    </row>
    <row r="3237" spans="1:14" x14ac:dyDescent="0.25">
      <c r="A3237" s="121" t="s">
        <v>83</v>
      </c>
      <c r="B3237" s="121" t="s">
        <v>143</v>
      </c>
      <c r="C3237" s="62">
        <f>VLOOKUP(B3237,合并仓明细!$D$2:$F$74,3,0)</f>
        <v>131</v>
      </c>
      <c r="D3237" s="122" t="s">
        <v>413</v>
      </c>
      <c r="E3237" s="123">
        <v>45966</v>
      </c>
      <c r="F3237" s="121" t="s">
        <v>68</v>
      </c>
      <c r="G3237" s="121">
        <v>2978.3044799999998</v>
      </c>
      <c r="H3237" s="124">
        <v>82.308953745000011</v>
      </c>
      <c r="I3237" s="46">
        <f>ROUNDUP(H3237/30,0)*VLOOKUP(D3237,'报价表-配送'!$B$9:$I$13,8,0)</f>
        <v>0</v>
      </c>
      <c r="J3237" s="125"/>
      <c r="K3237" s="125"/>
      <c r="L3237" s="121"/>
      <c r="M3237" s="126"/>
      <c r="N3237" s="127">
        <f t="shared" si="165"/>
        <v>0</v>
      </c>
    </row>
    <row r="3238" spans="1:14" x14ac:dyDescent="0.25">
      <c r="A3238" s="121" t="s">
        <v>83</v>
      </c>
      <c r="B3238" s="121" t="s">
        <v>143</v>
      </c>
      <c r="C3238" s="62">
        <f>VLOOKUP(B3238,合并仓明细!$D$2:$F$74,3,0)</f>
        <v>131</v>
      </c>
      <c r="D3238" s="122" t="s">
        <v>413</v>
      </c>
      <c r="E3238" s="123">
        <v>45966</v>
      </c>
      <c r="F3238" s="121" t="s">
        <v>67</v>
      </c>
      <c r="G3238" s="121">
        <v>69283.058640000003</v>
      </c>
      <c r="H3238" s="124"/>
      <c r="I3238" s="125"/>
      <c r="J3238" s="125"/>
      <c r="K3238" s="125"/>
      <c r="L3238" s="121"/>
      <c r="M3238" s="126"/>
      <c r="N3238" s="121"/>
    </row>
    <row r="3239" spans="1:14" x14ac:dyDescent="0.25">
      <c r="A3239" s="121" t="s">
        <v>83</v>
      </c>
      <c r="B3239" s="121" t="s">
        <v>143</v>
      </c>
      <c r="C3239" s="62">
        <f>VLOOKUP(B3239,合并仓明细!$D$2:$F$74,3,0)</f>
        <v>131</v>
      </c>
      <c r="D3239" s="122" t="s">
        <v>413</v>
      </c>
      <c r="E3239" s="123">
        <v>45966</v>
      </c>
      <c r="F3239" s="121" t="s">
        <v>66</v>
      </c>
      <c r="G3239" s="121">
        <v>10047.590624999999</v>
      </c>
      <c r="H3239" s="124"/>
      <c r="I3239" s="125"/>
      <c r="J3239" s="125"/>
      <c r="K3239" s="125"/>
      <c r="L3239" s="121"/>
      <c r="M3239" s="126"/>
      <c r="N3239" s="121"/>
    </row>
    <row r="3240" spans="1:14" x14ac:dyDescent="0.25">
      <c r="A3240" s="121" t="s">
        <v>83</v>
      </c>
      <c r="B3240" s="121" t="s">
        <v>143</v>
      </c>
      <c r="C3240" s="62">
        <f>VLOOKUP(B3240,合并仓明细!$D$2:$F$74,3,0)</f>
        <v>131</v>
      </c>
      <c r="D3240" s="122" t="s">
        <v>413</v>
      </c>
      <c r="E3240" s="123">
        <v>45968</v>
      </c>
      <c r="F3240" s="121" t="s">
        <v>68</v>
      </c>
      <c r="G3240" s="121">
        <v>2.1285799999999999</v>
      </c>
      <c r="H3240" s="124">
        <v>6.2695589256500037</v>
      </c>
      <c r="I3240" s="46">
        <f>ROUNDUP(H3240/30,0)*VLOOKUP(D3240,'报价表-配送'!$B$9:$I$13,8,0)</f>
        <v>0</v>
      </c>
      <c r="J3240" s="125"/>
      <c r="K3240" s="125"/>
      <c r="L3240" s="121"/>
      <c r="M3240" s="126"/>
      <c r="N3240" s="127">
        <f t="shared" ref="N3240" si="166">SUM(I3240:L3240)</f>
        <v>0</v>
      </c>
    </row>
    <row r="3241" spans="1:14" x14ac:dyDescent="0.25">
      <c r="A3241" s="121" t="s">
        <v>83</v>
      </c>
      <c r="B3241" s="121" t="s">
        <v>143</v>
      </c>
      <c r="C3241" s="62">
        <f>VLOOKUP(B3241,合并仓明细!$D$2:$F$74,3,0)</f>
        <v>131</v>
      </c>
      <c r="D3241" s="122" t="s">
        <v>413</v>
      </c>
      <c r="E3241" s="123">
        <v>45968</v>
      </c>
      <c r="F3241" s="121" t="s">
        <v>67</v>
      </c>
      <c r="G3241" s="121">
        <v>541.79722400000003</v>
      </c>
      <c r="H3241" s="124"/>
      <c r="I3241" s="125"/>
      <c r="J3241" s="125"/>
      <c r="K3241" s="125"/>
      <c r="L3241" s="121"/>
      <c r="M3241" s="126"/>
      <c r="N3241" s="121"/>
    </row>
    <row r="3242" spans="1:14" x14ac:dyDescent="0.25">
      <c r="A3242" s="121" t="s">
        <v>83</v>
      </c>
      <c r="B3242" s="121" t="s">
        <v>143</v>
      </c>
      <c r="C3242" s="62">
        <f>VLOOKUP(B3242,合并仓明细!$D$2:$F$74,3,0)</f>
        <v>131</v>
      </c>
      <c r="D3242" s="122" t="s">
        <v>413</v>
      </c>
      <c r="E3242" s="123">
        <v>45968</v>
      </c>
      <c r="F3242" s="121" t="s">
        <v>66</v>
      </c>
      <c r="G3242" s="121">
        <v>5725.633121650003</v>
      </c>
      <c r="H3242" s="124"/>
      <c r="I3242" s="125"/>
      <c r="J3242" s="125"/>
      <c r="K3242" s="125"/>
      <c r="L3242" s="121"/>
      <c r="M3242" s="126"/>
      <c r="N3242" s="121"/>
    </row>
    <row r="3243" spans="1:14" x14ac:dyDescent="0.25">
      <c r="A3243" s="121" t="s">
        <v>83</v>
      </c>
      <c r="B3243" s="121" t="s">
        <v>143</v>
      </c>
      <c r="C3243" s="62">
        <f>VLOOKUP(B3243,合并仓明细!$D$2:$F$74,3,0)</f>
        <v>131</v>
      </c>
      <c r="D3243" s="122" t="s">
        <v>413</v>
      </c>
      <c r="E3243" s="123">
        <v>45969</v>
      </c>
      <c r="F3243" s="121" t="s">
        <v>67</v>
      </c>
      <c r="G3243" s="121">
        <v>5419.9051199999994</v>
      </c>
      <c r="H3243" s="124">
        <v>5.7477911199999996</v>
      </c>
      <c r="I3243" s="38">
        <f>IF(H3243&gt;30,QUOTIENT(H3243,30)*VLOOKUP(D3243,'报价表-配送'!$B$9:$I$13,8,0),0)+IF(AND(MOD(H3243,30)&gt;18,MOD(H3243,30)&lt;=30),1,0)*VLOOKUP(D3243,'报价表-配送'!$B$9:$I$13,8,0)</f>
        <v>0</v>
      </c>
      <c r="J3243" s="38">
        <f>IF(AND(MOD(H3243,30)&gt;8,MOD(H3243,30)&lt;=18),1*VLOOKUP(D3243,'报价表-配送'!$B$9:$I$13,7,0),0)</f>
        <v>0</v>
      </c>
      <c r="K3243" s="38">
        <f>IF(AND(MOD(H3243,30)&lt;=8,MOD(H3243,30)&gt;0),1,0)*VLOOKUP(D3243,'报价表-配送'!$B$9:$I$13,6,0)</f>
        <v>0</v>
      </c>
      <c r="L3243" s="121"/>
      <c r="M3243" s="126"/>
      <c r="N3243" s="127">
        <f t="shared" ref="N3243" si="167">SUM(I3243:L3243)</f>
        <v>0</v>
      </c>
    </row>
    <row r="3244" spans="1:14" x14ac:dyDescent="0.25">
      <c r="A3244" s="121" t="s">
        <v>83</v>
      </c>
      <c r="B3244" s="121" t="s">
        <v>143</v>
      </c>
      <c r="C3244" s="62">
        <f>VLOOKUP(B3244,合并仓明细!$D$2:$F$74,3,0)</f>
        <v>131</v>
      </c>
      <c r="D3244" s="122" t="s">
        <v>413</v>
      </c>
      <c r="E3244" s="123">
        <v>45969</v>
      </c>
      <c r="F3244" s="121" t="s">
        <v>66</v>
      </c>
      <c r="G3244" s="121">
        <v>327.88599999999997</v>
      </c>
      <c r="H3244" s="124"/>
      <c r="I3244" s="125"/>
      <c r="J3244" s="125"/>
      <c r="K3244" s="125"/>
      <c r="L3244" s="121"/>
      <c r="M3244" s="126"/>
      <c r="N3244" s="121"/>
    </row>
    <row r="3245" spans="1:14" x14ac:dyDescent="0.25">
      <c r="A3245" s="121" t="s">
        <v>83</v>
      </c>
      <c r="B3245" s="121" t="s">
        <v>143</v>
      </c>
      <c r="C3245" s="62">
        <f>VLOOKUP(B3245,合并仓明细!$D$2:$F$74,3,0)</f>
        <v>131</v>
      </c>
      <c r="D3245" s="122" t="s">
        <v>413</v>
      </c>
      <c r="E3245" s="123">
        <v>45971</v>
      </c>
      <c r="F3245" s="121" t="s">
        <v>68</v>
      </c>
      <c r="G3245" s="121">
        <v>218.12243999999998</v>
      </c>
      <c r="H3245" s="124">
        <v>1.3211218200000001</v>
      </c>
      <c r="I3245" s="46">
        <f>ROUNDUP(H3245/30,0)*VLOOKUP(D3245,'报价表-配送'!$B$9:$I$13,8,0)</f>
        <v>0</v>
      </c>
      <c r="J3245" s="125"/>
      <c r="K3245" s="125"/>
      <c r="L3245" s="121"/>
      <c r="M3245" s="126"/>
      <c r="N3245" s="127">
        <f t="shared" ref="N3245" si="168">SUM(I3245:L3245)</f>
        <v>0</v>
      </c>
    </row>
    <row r="3246" spans="1:14" x14ac:dyDescent="0.25">
      <c r="A3246" s="121" t="s">
        <v>83</v>
      </c>
      <c r="B3246" s="121" t="s">
        <v>143</v>
      </c>
      <c r="C3246" s="62">
        <f>VLOOKUP(B3246,合并仓明细!$D$2:$F$74,3,0)</f>
        <v>131</v>
      </c>
      <c r="D3246" s="122" t="s">
        <v>413</v>
      </c>
      <c r="E3246" s="123">
        <v>45971</v>
      </c>
      <c r="F3246" s="121" t="s">
        <v>67</v>
      </c>
      <c r="G3246" s="121">
        <v>619.21137999999996</v>
      </c>
      <c r="H3246" s="124"/>
      <c r="I3246" s="125"/>
      <c r="J3246" s="125"/>
      <c r="K3246" s="125"/>
      <c r="L3246" s="121"/>
      <c r="M3246" s="126"/>
      <c r="N3246" s="121"/>
    </row>
    <row r="3247" spans="1:14" x14ac:dyDescent="0.25">
      <c r="A3247" s="121" t="s">
        <v>83</v>
      </c>
      <c r="B3247" s="121" t="s">
        <v>143</v>
      </c>
      <c r="C3247" s="62">
        <f>VLOOKUP(B3247,合并仓明细!$D$2:$F$74,3,0)</f>
        <v>131</v>
      </c>
      <c r="D3247" s="122" t="s">
        <v>413</v>
      </c>
      <c r="E3247" s="123">
        <v>45971</v>
      </c>
      <c r="F3247" s="121" t="s">
        <v>66</v>
      </c>
      <c r="G3247" s="121">
        <v>483.78800000000012</v>
      </c>
      <c r="H3247" s="124"/>
      <c r="I3247" s="125"/>
      <c r="J3247" s="125"/>
      <c r="K3247" s="125"/>
      <c r="L3247" s="121"/>
      <c r="M3247" s="126"/>
      <c r="N3247" s="121"/>
    </row>
    <row r="3248" spans="1:14" x14ac:dyDescent="0.25">
      <c r="A3248" s="121" t="s">
        <v>83</v>
      </c>
      <c r="B3248" s="121" t="s">
        <v>143</v>
      </c>
      <c r="C3248" s="62">
        <f>VLOOKUP(B3248,合并仓明细!$D$2:$F$74,3,0)</f>
        <v>131</v>
      </c>
      <c r="D3248" s="122" t="s">
        <v>413</v>
      </c>
      <c r="E3248" s="123">
        <v>45973</v>
      </c>
      <c r="F3248" s="121" t="s">
        <v>66</v>
      </c>
      <c r="G3248" s="121">
        <v>1373.4604166599997</v>
      </c>
      <c r="H3248" s="124">
        <v>1.3734604166599997</v>
      </c>
      <c r="I3248" s="125"/>
      <c r="J3248" s="125"/>
      <c r="K3248" s="125"/>
      <c r="L3248" s="37">
        <f>IF(H3248&gt;30,QUOTIENT(H3248,30)*VLOOKUP(D3248,'报价表-配送'!$B$9:$I$13,8,0),0)+IF(AND(MOD(H3248,30)&gt;18,MOD(H3248,30)&lt;=30),1,0)*VLOOKUP(D3248,'报价表-配送'!$B$9:$I$13,8,0)+IF(AND(MOD(H3248,30)&gt;8,MOD(H3248,30)&lt;=18),1*VLOOKUP(D3248,'报价表-配送'!$B$9:$I$13,7,0),0)+IF(AND(MOD(H3248,30)&lt;=8,MOD(H3248,30)&gt;2.5),1,0)*VLOOKUP(D3248,'报价表-配送'!$B$9:$I$13,6,0)+IF(AND(MOD(H3248,30)&lt;=2.5,MOD(H3248,30)&gt;=1.5),1,0)*VLOOKUP(D3248,'报价表-配送'!$B$9:$I$13,5,0)</f>
        <v>0</v>
      </c>
      <c r="M3248" s="39">
        <f>IF(AND(MOD(H3248,30)&lt;1.5,MOD(H3248,30)&gt;=0.5),H3248,0)*VLOOKUP(D3248,'报价表-配送'!$B$9:$I$13,4,0)*1000+IF(AND(MOD(H3248,30)&lt;0.5,MOD(H3248,30)&gt;=0.02),H3248,0)*VLOOKUP(D3248,'报价表-配送'!$B$9:$I$13,3,0)*1000+IF(AND(MOD(H3248,30)&lt;0.02),H3248,0)*VLOOKUP(D3248,'报价表-配送'!$B$9:$I$13,2,0)*1000</f>
        <v>0</v>
      </c>
      <c r="N3248" s="127">
        <f t="shared" ref="N3248:N3249" si="169">SUM(I3248:L3248)</f>
        <v>0</v>
      </c>
    </row>
    <row r="3249" spans="1:14" x14ac:dyDescent="0.25">
      <c r="A3249" s="121" t="s">
        <v>83</v>
      </c>
      <c r="B3249" s="121" t="s">
        <v>143</v>
      </c>
      <c r="C3249" s="62">
        <f>VLOOKUP(B3249,合并仓明细!$D$2:$F$74,3,0)</f>
        <v>131</v>
      </c>
      <c r="D3249" s="122" t="s">
        <v>413</v>
      </c>
      <c r="E3249" s="123">
        <v>45974</v>
      </c>
      <c r="F3249" s="121" t="s">
        <v>67</v>
      </c>
      <c r="G3249" s="121">
        <v>615.76697000000001</v>
      </c>
      <c r="H3249" s="124">
        <v>1.32651113661</v>
      </c>
      <c r="I3249" s="38">
        <f>IF(H3249&gt;30,QUOTIENT(H3249,30)*VLOOKUP(D3249,'报价表-配送'!$B$9:$I$13,8,0),0)+IF(AND(MOD(H3249,30)&gt;18,MOD(H3249,30)&lt;=30),1,0)*VLOOKUP(D3249,'报价表-配送'!$B$9:$I$13,8,0)</f>
        <v>0</v>
      </c>
      <c r="J3249" s="38">
        <f>IF(AND(MOD(H3249,30)&gt;8,MOD(H3249,30)&lt;=18),1*VLOOKUP(D3249,'报价表-配送'!$B$9:$I$13,7,0),0)</f>
        <v>0</v>
      </c>
      <c r="K3249" s="38">
        <f>IF(AND(MOD(H3249,30)&lt;=8,MOD(H3249,30)&gt;0),1,0)*VLOOKUP(D3249,'报价表-配送'!$B$9:$I$13,6,0)</f>
        <v>0</v>
      </c>
      <c r="L3249" s="121"/>
      <c r="M3249" s="126"/>
      <c r="N3249" s="127">
        <f t="shared" si="169"/>
        <v>0</v>
      </c>
    </row>
    <row r="3250" spans="1:14" x14ac:dyDescent="0.25">
      <c r="A3250" s="121" t="s">
        <v>83</v>
      </c>
      <c r="B3250" s="121" t="s">
        <v>143</v>
      </c>
      <c r="C3250" s="62">
        <f>VLOOKUP(B3250,合并仓明细!$D$2:$F$74,3,0)</f>
        <v>131</v>
      </c>
      <c r="D3250" s="122" t="s">
        <v>413</v>
      </c>
      <c r="E3250" s="123">
        <v>45974</v>
      </c>
      <c r="F3250" s="121" t="s">
        <v>66</v>
      </c>
      <c r="G3250" s="121">
        <v>710.74416660999998</v>
      </c>
      <c r="H3250" s="124"/>
      <c r="I3250" s="125"/>
      <c r="J3250" s="125"/>
      <c r="K3250" s="125"/>
      <c r="L3250" s="121"/>
      <c r="M3250" s="126"/>
      <c r="N3250" s="121"/>
    </row>
    <row r="3251" spans="1:14" x14ac:dyDescent="0.25">
      <c r="A3251" s="121" t="s">
        <v>83</v>
      </c>
      <c r="B3251" s="121" t="s">
        <v>143</v>
      </c>
      <c r="C3251" s="62">
        <f>VLOOKUP(B3251,合并仓明细!$D$2:$F$74,3,0)</f>
        <v>131</v>
      </c>
      <c r="D3251" s="122" t="s">
        <v>413</v>
      </c>
      <c r="E3251" s="123">
        <v>45975</v>
      </c>
      <c r="F3251" s="121" t="s">
        <v>68</v>
      </c>
      <c r="G3251" s="121">
        <v>5599.9544400000013</v>
      </c>
      <c r="H3251" s="124">
        <v>24.320617284439997</v>
      </c>
      <c r="I3251" s="46">
        <f>ROUNDUP(H3251/30,0)*VLOOKUP(D3251,'报价表-配送'!$B$9:$I$13,8,0)</f>
        <v>0</v>
      </c>
      <c r="J3251" s="125"/>
      <c r="K3251" s="125"/>
      <c r="L3251" s="121"/>
      <c r="M3251" s="126"/>
      <c r="N3251" s="127">
        <f t="shared" ref="N3251" si="170">SUM(I3251:L3251)</f>
        <v>0</v>
      </c>
    </row>
    <row r="3252" spans="1:14" x14ac:dyDescent="0.25">
      <c r="A3252" s="121" t="s">
        <v>83</v>
      </c>
      <c r="B3252" s="121" t="s">
        <v>143</v>
      </c>
      <c r="C3252" s="62">
        <f>VLOOKUP(B3252,合并仓明细!$D$2:$F$74,3,0)</f>
        <v>131</v>
      </c>
      <c r="D3252" s="122" t="s">
        <v>413</v>
      </c>
      <c r="E3252" s="123">
        <v>45975</v>
      </c>
      <c r="F3252" s="121" t="s">
        <v>67</v>
      </c>
      <c r="G3252" s="121">
        <v>15001.810904</v>
      </c>
      <c r="H3252" s="124"/>
      <c r="I3252" s="125"/>
      <c r="J3252" s="125"/>
      <c r="K3252" s="125"/>
      <c r="L3252" s="121"/>
      <c r="M3252" s="126"/>
      <c r="N3252" s="121"/>
    </row>
    <row r="3253" spans="1:14" x14ac:dyDescent="0.25">
      <c r="A3253" s="121" t="s">
        <v>83</v>
      </c>
      <c r="B3253" s="121" t="s">
        <v>143</v>
      </c>
      <c r="C3253" s="62">
        <f>VLOOKUP(B3253,合并仓明细!$D$2:$F$74,3,0)</f>
        <v>131</v>
      </c>
      <c r="D3253" s="122" t="s">
        <v>413</v>
      </c>
      <c r="E3253" s="123">
        <v>45975</v>
      </c>
      <c r="F3253" s="121" t="s">
        <v>66</v>
      </c>
      <c r="G3253" s="121">
        <v>3718.8519404399995</v>
      </c>
      <c r="H3253" s="124"/>
      <c r="I3253" s="125"/>
      <c r="J3253" s="125"/>
      <c r="K3253" s="125"/>
      <c r="L3253" s="121"/>
      <c r="M3253" s="126"/>
      <c r="N3253" s="121"/>
    </row>
    <row r="3254" spans="1:14" x14ac:dyDescent="0.25">
      <c r="A3254" s="121" t="s">
        <v>83</v>
      </c>
      <c r="B3254" s="121" t="s">
        <v>143</v>
      </c>
      <c r="C3254" s="62">
        <f>VLOOKUP(B3254,合并仓明细!$D$2:$F$74,3,0)</f>
        <v>131</v>
      </c>
      <c r="D3254" s="122" t="s">
        <v>413</v>
      </c>
      <c r="E3254" s="123">
        <v>45977</v>
      </c>
      <c r="F3254" s="121" t="s">
        <v>66</v>
      </c>
      <c r="G3254" s="121">
        <v>34.652499999999996</v>
      </c>
      <c r="H3254" s="124">
        <v>3.4652499999999996E-2</v>
      </c>
      <c r="I3254" s="125"/>
      <c r="J3254" s="125"/>
      <c r="K3254" s="125"/>
      <c r="L3254" s="37">
        <f>IF(H3254&gt;30,QUOTIENT(H3254,30)*VLOOKUP(D3254,'报价表-配送'!$B$9:$I$13,8,0),0)+IF(AND(MOD(H3254,30)&gt;18,MOD(H3254,30)&lt;=30),1,0)*VLOOKUP(D3254,'报价表-配送'!$B$9:$I$13,8,0)+IF(AND(MOD(H3254,30)&gt;8,MOD(H3254,30)&lt;=18),1*VLOOKUP(D3254,'报价表-配送'!$B$9:$I$13,7,0),0)+IF(AND(MOD(H3254,30)&lt;=8,MOD(H3254,30)&gt;2.5),1,0)*VLOOKUP(D3254,'报价表-配送'!$B$9:$I$13,6,0)+IF(AND(MOD(H3254,30)&lt;=2.5,MOD(H3254,30)&gt;=1.5),1,0)*VLOOKUP(D3254,'报价表-配送'!$B$9:$I$13,5,0)</f>
        <v>0</v>
      </c>
      <c r="M3254" s="39">
        <f>IF(AND(MOD(H3254,30)&lt;1.5,MOD(H3254,30)&gt;=0.5),H3254,0)*VLOOKUP(D3254,'报价表-配送'!$B$9:$I$13,4,0)*1000+IF(AND(MOD(H3254,30)&lt;0.5,MOD(H3254,30)&gt;=0.02),H3254,0)*VLOOKUP(D3254,'报价表-配送'!$B$9:$I$13,3,0)*1000+IF(AND(MOD(H3254,30)&lt;0.02),H3254,0)*VLOOKUP(D3254,'报价表-配送'!$B$9:$I$13,2,0)*1000</f>
        <v>0</v>
      </c>
      <c r="N3254" s="127">
        <f t="shared" ref="N3254:N3255" si="171">SUM(I3254:L3254)</f>
        <v>0</v>
      </c>
    </row>
    <row r="3255" spans="1:14" x14ac:dyDescent="0.25">
      <c r="A3255" s="121" t="s">
        <v>83</v>
      </c>
      <c r="B3255" s="121" t="s">
        <v>143</v>
      </c>
      <c r="C3255" s="62">
        <f>VLOOKUP(B3255,合并仓明细!$D$2:$F$74,3,0)</f>
        <v>131</v>
      </c>
      <c r="D3255" s="122" t="s">
        <v>413</v>
      </c>
      <c r="E3255" s="123">
        <v>45978</v>
      </c>
      <c r="F3255" s="121" t="s">
        <v>67</v>
      </c>
      <c r="G3255" s="121">
        <v>17700.798846000002</v>
      </c>
      <c r="H3255" s="124">
        <v>17.930558846</v>
      </c>
      <c r="I3255" s="38">
        <f>IF(H3255&gt;30,QUOTIENT(H3255,30)*VLOOKUP(D3255,'报价表-配送'!$B$9:$I$13,8,0),0)+IF(AND(MOD(H3255,30)&gt;18,MOD(H3255,30)&lt;=30),1,0)*VLOOKUP(D3255,'报价表-配送'!$B$9:$I$13,8,0)</f>
        <v>0</v>
      </c>
      <c r="J3255" s="38">
        <f>IF(AND(MOD(H3255,30)&gt;8,MOD(H3255,30)&lt;=18),1*VLOOKUP(D3255,'报价表-配送'!$B$9:$I$13,7,0),0)</f>
        <v>0</v>
      </c>
      <c r="K3255" s="38">
        <f>IF(AND(MOD(H3255,30)&lt;=8,MOD(H3255,30)&gt;0),1,0)*VLOOKUP(D3255,'报价表-配送'!$B$9:$I$13,6,0)</f>
        <v>0</v>
      </c>
      <c r="L3255" s="121"/>
      <c r="M3255" s="126"/>
      <c r="N3255" s="127">
        <f t="shared" si="171"/>
        <v>0</v>
      </c>
    </row>
    <row r="3256" spans="1:14" x14ac:dyDescent="0.25">
      <c r="A3256" s="121" t="s">
        <v>83</v>
      </c>
      <c r="B3256" s="121" t="s">
        <v>143</v>
      </c>
      <c r="C3256" s="62">
        <f>VLOOKUP(B3256,合并仓明细!$D$2:$F$74,3,0)</f>
        <v>131</v>
      </c>
      <c r="D3256" s="122" t="s">
        <v>413</v>
      </c>
      <c r="E3256" s="123">
        <v>45978</v>
      </c>
      <c r="F3256" s="121" t="s">
        <v>66</v>
      </c>
      <c r="G3256" s="121">
        <v>229.76</v>
      </c>
      <c r="H3256" s="124"/>
      <c r="I3256" s="125"/>
      <c r="J3256" s="125"/>
      <c r="K3256" s="125"/>
      <c r="L3256" s="121"/>
      <c r="M3256" s="126"/>
      <c r="N3256" s="121"/>
    </row>
    <row r="3257" spans="1:14" x14ac:dyDescent="0.25">
      <c r="A3257" s="121" t="s">
        <v>83</v>
      </c>
      <c r="B3257" s="121" t="s">
        <v>143</v>
      </c>
      <c r="C3257" s="62">
        <f>VLOOKUP(B3257,合并仓明细!$D$2:$F$74,3,0)</f>
        <v>131</v>
      </c>
      <c r="D3257" s="122" t="s">
        <v>413</v>
      </c>
      <c r="E3257" s="123">
        <v>45979</v>
      </c>
      <c r="F3257" s="121" t="s">
        <v>66</v>
      </c>
      <c r="G3257" s="121">
        <v>3070</v>
      </c>
      <c r="H3257" s="124">
        <v>3.07</v>
      </c>
      <c r="I3257" s="125"/>
      <c r="J3257" s="125"/>
      <c r="K3257" s="125"/>
      <c r="L3257" s="37">
        <f>IF(H3257&gt;30,QUOTIENT(H3257,30)*VLOOKUP(D3257,'报价表-配送'!$B$9:$I$13,8,0),0)+IF(AND(MOD(H3257,30)&gt;18,MOD(H3257,30)&lt;=30),1,0)*VLOOKUP(D3257,'报价表-配送'!$B$9:$I$13,8,0)+IF(AND(MOD(H3257,30)&gt;8,MOD(H3257,30)&lt;=18),1*VLOOKUP(D3257,'报价表-配送'!$B$9:$I$13,7,0),0)+IF(AND(MOD(H3257,30)&lt;=8,MOD(H3257,30)&gt;2.5),1,0)*VLOOKUP(D3257,'报价表-配送'!$B$9:$I$13,6,0)+IF(AND(MOD(H3257,30)&lt;=2.5,MOD(H3257,30)&gt;=1.5),1,0)*VLOOKUP(D3257,'报价表-配送'!$B$9:$I$13,5,0)</f>
        <v>0</v>
      </c>
      <c r="M3257" s="39">
        <f>IF(AND(MOD(H3257,30)&lt;1.5,MOD(H3257,30)&gt;=0.5),H3257,0)*VLOOKUP(D3257,'报价表-配送'!$B$9:$I$13,4,0)*1000+IF(AND(MOD(H3257,30)&lt;0.5,MOD(H3257,30)&gt;=0.02),H3257,0)*VLOOKUP(D3257,'报价表-配送'!$B$9:$I$13,3,0)*1000+IF(AND(MOD(H3257,30)&lt;0.02),H3257,0)*VLOOKUP(D3257,'报价表-配送'!$B$9:$I$13,2,0)*1000</f>
        <v>0</v>
      </c>
      <c r="N3257" s="127">
        <f t="shared" ref="N3257:N3259" si="172">SUM(I3257:L3257)</f>
        <v>0</v>
      </c>
    </row>
    <row r="3258" spans="1:14" x14ac:dyDescent="0.25">
      <c r="A3258" s="121" t="s">
        <v>83</v>
      </c>
      <c r="B3258" s="121" t="s">
        <v>143</v>
      </c>
      <c r="C3258" s="62">
        <f>VLOOKUP(B3258,合并仓明细!$D$2:$F$74,3,0)</f>
        <v>131</v>
      </c>
      <c r="D3258" s="122" t="s">
        <v>413</v>
      </c>
      <c r="E3258" s="123">
        <v>45980</v>
      </c>
      <c r="F3258" s="121" t="s">
        <v>66</v>
      </c>
      <c r="G3258" s="121">
        <v>4502.66</v>
      </c>
      <c r="H3258" s="124">
        <v>4.5026599999999997</v>
      </c>
      <c r="I3258" s="125"/>
      <c r="J3258" s="125"/>
      <c r="K3258" s="125"/>
      <c r="L3258" s="37">
        <f>IF(H3258&gt;30,QUOTIENT(H3258,30)*VLOOKUP(D3258,'报价表-配送'!$B$9:$I$13,8,0),0)+IF(AND(MOD(H3258,30)&gt;18,MOD(H3258,30)&lt;=30),1,0)*VLOOKUP(D3258,'报价表-配送'!$B$9:$I$13,8,0)+IF(AND(MOD(H3258,30)&gt;8,MOD(H3258,30)&lt;=18),1*VLOOKUP(D3258,'报价表-配送'!$B$9:$I$13,7,0),0)+IF(AND(MOD(H3258,30)&lt;=8,MOD(H3258,30)&gt;2.5),1,0)*VLOOKUP(D3258,'报价表-配送'!$B$9:$I$13,6,0)+IF(AND(MOD(H3258,30)&lt;=2.5,MOD(H3258,30)&gt;=1.5),1,0)*VLOOKUP(D3258,'报价表-配送'!$B$9:$I$13,5,0)</f>
        <v>0</v>
      </c>
      <c r="M3258" s="39">
        <f>IF(AND(MOD(H3258,30)&lt;1.5,MOD(H3258,30)&gt;=0.5),H3258,0)*VLOOKUP(D3258,'报价表-配送'!$B$9:$I$13,4,0)*1000+IF(AND(MOD(H3258,30)&lt;0.5,MOD(H3258,30)&gt;=0.02),H3258,0)*VLOOKUP(D3258,'报价表-配送'!$B$9:$I$13,3,0)*1000+IF(AND(MOD(H3258,30)&lt;0.02),H3258,0)*VLOOKUP(D3258,'报价表-配送'!$B$9:$I$13,2,0)*1000</f>
        <v>0</v>
      </c>
      <c r="N3258" s="127">
        <f t="shared" si="172"/>
        <v>0</v>
      </c>
    </row>
    <row r="3259" spans="1:14" x14ac:dyDescent="0.25">
      <c r="A3259" s="121" t="s">
        <v>83</v>
      </c>
      <c r="B3259" s="121" t="s">
        <v>143</v>
      </c>
      <c r="C3259" s="62">
        <f>VLOOKUP(B3259,合并仓明细!$D$2:$F$74,3,0)</f>
        <v>131</v>
      </c>
      <c r="D3259" s="122" t="s">
        <v>413</v>
      </c>
      <c r="E3259" s="123">
        <v>45982</v>
      </c>
      <c r="F3259" s="121" t="s">
        <v>68</v>
      </c>
      <c r="G3259" s="121">
        <v>2298.2977179999998</v>
      </c>
      <c r="H3259" s="124">
        <v>3.5993871013299996</v>
      </c>
      <c r="I3259" s="46">
        <f>ROUNDUP(H3259/30,0)*VLOOKUP(D3259,'报价表-配送'!$B$9:$I$13,8,0)</f>
        <v>0</v>
      </c>
      <c r="J3259" s="125"/>
      <c r="K3259" s="125"/>
      <c r="L3259" s="121"/>
      <c r="M3259" s="126"/>
      <c r="N3259" s="127">
        <f t="shared" si="172"/>
        <v>0</v>
      </c>
    </row>
    <row r="3260" spans="1:14" x14ac:dyDescent="0.25">
      <c r="A3260" s="121" t="s">
        <v>83</v>
      </c>
      <c r="B3260" s="121" t="s">
        <v>143</v>
      </c>
      <c r="C3260" s="62">
        <f>VLOOKUP(B3260,合并仓明细!$D$2:$F$74,3,0)</f>
        <v>131</v>
      </c>
      <c r="D3260" s="122" t="s">
        <v>413</v>
      </c>
      <c r="E3260" s="123">
        <v>45982</v>
      </c>
      <c r="F3260" s="121" t="s">
        <v>67</v>
      </c>
      <c r="G3260" s="121">
        <v>309.00355000000002</v>
      </c>
      <c r="H3260" s="124"/>
      <c r="I3260" s="125"/>
      <c r="J3260" s="125"/>
      <c r="K3260" s="125"/>
      <c r="L3260" s="121"/>
      <c r="M3260" s="126"/>
      <c r="N3260" s="121"/>
    </row>
    <row r="3261" spans="1:14" x14ac:dyDescent="0.25">
      <c r="A3261" s="121" t="s">
        <v>83</v>
      </c>
      <c r="B3261" s="121" t="s">
        <v>143</v>
      </c>
      <c r="C3261" s="62">
        <f>VLOOKUP(B3261,合并仓明细!$D$2:$F$74,3,0)</f>
        <v>131</v>
      </c>
      <c r="D3261" s="122" t="s">
        <v>413</v>
      </c>
      <c r="E3261" s="123">
        <v>45982</v>
      </c>
      <c r="F3261" s="121" t="s">
        <v>66</v>
      </c>
      <c r="G3261" s="121">
        <v>992.08583332999979</v>
      </c>
      <c r="H3261" s="124"/>
      <c r="I3261" s="125"/>
      <c r="J3261" s="125"/>
      <c r="K3261" s="125"/>
      <c r="L3261" s="121"/>
      <c r="M3261" s="126"/>
      <c r="N3261" s="121"/>
    </row>
    <row r="3262" spans="1:14" x14ac:dyDescent="0.25">
      <c r="A3262" s="121" t="s">
        <v>83</v>
      </c>
      <c r="B3262" s="121" t="s">
        <v>143</v>
      </c>
      <c r="C3262" s="62">
        <f>VLOOKUP(B3262,合并仓明细!$D$2:$F$74,3,0)</f>
        <v>131</v>
      </c>
      <c r="D3262" s="122" t="s">
        <v>413</v>
      </c>
      <c r="E3262" s="123">
        <v>45985</v>
      </c>
      <c r="F3262" s="121" t="s">
        <v>68</v>
      </c>
      <c r="G3262" s="121">
        <v>386.89287999999999</v>
      </c>
      <c r="H3262" s="124">
        <v>3.73513969567</v>
      </c>
      <c r="I3262" s="46">
        <f>ROUNDUP(H3262/30,0)*VLOOKUP(D3262,'报价表-配送'!$B$9:$I$13,8,0)</f>
        <v>0</v>
      </c>
      <c r="J3262" s="125"/>
      <c r="K3262" s="125"/>
      <c r="L3262" s="121"/>
      <c r="M3262" s="126"/>
      <c r="N3262" s="127">
        <f t="shared" ref="N3262" si="173">SUM(I3262:L3262)</f>
        <v>0</v>
      </c>
    </row>
    <row r="3263" spans="1:14" x14ac:dyDescent="0.25">
      <c r="A3263" s="121" t="s">
        <v>83</v>
      </c>
      <c r="B3263" s="121" t="s">
        <v>143</v>
      </c>
      <c r="C3263" s="62">
        <f>VLOOKUP(B3263,合并仓明细!$D$2:$F$74,3,0)</f>
        <v>131</v>
      </c>
      <c r="D3263" s="122" t="s">
        <v>413</v>
      </c>
      <c r="E3263" s="123">
        <v>45985</v>
      </c>
      <c r="F3263" s="121" t="s">
        <v>67</v>
      </c>
      <c r="G3263" s="121">
        <v>2508.5709120000001</v>
      </c>
      <c r="H3263" s="124"/>
      <c r="I3263" s="125"/>
      <c r="J3263" s="125"/>
      <c r="K3263" s="125"/>
      <c r="L3263" s="121"/>
      <c r="M3263" s="126"/>
      <c r="N3263" s="121"/>
    </row>
    <row r="3264" spans="1:14" x14ac:dyDescent="0.25">
      <c r="A3264" s="121" t="s">
        <v>83</v>
      </c>
      <c r="B3264" s="121" t="s">
        <v>143</v>
      </c>
      <c r="C3264" s="62">
        <f>VLOOKUP(B3264,合并仓明细!$D$2:$F$74,3,0)</f>
        <v>131</v>
      </c>
      <c r="D3264" s="122" t="s">
        <v>413</v>
      </c>
      <c r="E3264" s="123">
        <v>45985</v>
      </c>
      <c r="F3264" s="121" t="s">
        <v>66</v>
      </c>
      <c r="G3264" s="121">
        <v>839.67590367000003</v>
      </c>
      <c r="H3264" s="124"/>
      <c r="I3264" s="125"/>
      <c r="J3264" s="125"/>
      <c r="K3264" s="125"/>
      <c r="L3264" s="121"/>
      <c r="M3264" s="126"/>
      <c r="N3264" s="121"/>
    </row>
    <row r="3265" spans="1:14" x14ac:dyDescent="0.25">
      <c r="A3265" s="121" t="s">
        <v>83</v>
      </c>
      <c r="B3265" s="121" t="s">
        <v>143</v>
      </c>
      <c r="C3265" s="62">
        <f>VLOOKUP(B3265,合并仓明细!$D$2:$F$74,3,0)</f>
        <v>131</v>
      </c>
      <c r="D3265" s="122" t="s">
        <v>413</v>
      </c>
      <c r="E3265" s="123">
        <v>45986</v>
      </c>
      <c r="F3265" s="121" t="s">
        <v>67</v>
      </c>
      <c r="G3265" s="121">
        <v>15850.23487</v>
      </c>
      <c r="H3265" s="124">
        <v>16.234098203230001</v>
      </c>
      <c r="I3265" s="38">
        <f>IF(H3265&gt;30,QUOTIENT(H3265,30)*VLOOKUP(D3265,'报价表-配送'!$B$9:$I$13,8,0),0)+IF(AND(MOD(H3265,30)&gt;18,MOD(H3265,30)&lt;=30),1,0)*VLOOKUP(D3265,'报价表-配送'!$B$9:$I$13,8,0)</f>
        <v>0</v>
      </c>
      <c r="J3265" s="38">
        <f>IF(AND(MOD(H3265,30)&gt;8,MOD(H3265,30)&lt;=18),1*VLOOKUP(D3265,'报价表-配送'!$B$9:$I$13,7,0),0)</f>
        <v>0</v>
      </c>
      <c r="K3265" s="38">
        <f>IF(AND(MOD(H3265,30)&lt;=8,MOD(H3265,30)&gt;0),1,0)*VLOOKUP(D3265,'报价表-配送'!$B$9:$I$13,6,0)</f>
        <v>0</v>
      </c>
      <c r="L3265" s="121"/>
      <c r="M3265" s="126"/>
      <c r="N3265" s="127">
        <f t="shared" ref="N3265" si="174">SUM(I3265:L3265)</f>
        <v>0</v>
      </c>
    </row>
    <row r="3266" spans="1:14" x14ac:dyDescent="0.25">
      <c r="A3266" s="121" t="s">
        <v>83</v>
      </c>
      <c r="B3266" s="121" t="s">
        <v>143</v>
      </c>
      <c r="C3266" s="62">
        <f>VLOOKUP(B3266,合并仓明细!$D$2:$F$74,3,0)</f>
        <v>131</v>
      </c>
      <c r="D3266" s="122" t="s">
        <v>413</v>
      </c>
      <c r="E3266" s="123">
        <v>45986</v>
      </c>
      <c r="F3266" s="121" t="s">
        <v>66</v>
      </c>
      <c r="G3266" s="121">
        <v>383.86333323000002</v>
      </c>
      <c r="H3266" s="124"/>
      <c r="I3266" s="125"/>
      <c r="J3266" s="125"/>
      <c r="K3266" s="125"/>
      <c r="L3266" s="121"/>
      <c r="M3266" s="126"/>
      <c r="N3266" s="121"/>
    </row>
    <row r="3267" spans="1:14" x14ac:dyDescent="0.25">
      <c r="A3267" s="121" t="s">
        <v>83</v>
      </c>
      <c r="B3267" s="121" t="s">
        <v>143</v>
      </c>
      <c r="C3267" s="62">
        <f>VLOOKUP(B3267,合并仓明细!$D$2:$F$74,3,0)</f>
        <v>131</v>
      </c>
      <c r="D3267" s="122" t="s">
        <v>413</v>
      </c>
      <c r="E3267" s="123">
        <v>45987</v>
      </c>
      <c r="F3267" s="121" t="s">
        <v>68</v>
      </c>
      <c r="G3267" s="121">
        <v>76.628879999999995</v>
      </c>
      <c r="H3267" s="124">
        <v>35.398555845449998</v>
      </c>
      <c r="I3267" s="46">
        <f>ROUNDUP(H3267/30,0)*VLOOKUP(D3267,'报价表-配送'!$B$9:$I$13,8,0)</f>
        <v>0</v>
      </c>
      <c r="J3267" s="125"/>
      <c r="K3267" s="125"/>
      <c r="L3267" s="121"/>
      <c r="M3267" s="126"/>
      <c r="N3267" s="127">
        <f t="shared" ref="N3267" si="175">SUM(I3267:L3267)</f>
        <v>0</v>
      </c>
    </row>
    <row r="3268" spans="1:14" x14ac:dyDescent="0.25">
      <c r="A3268" s="121" t="s">
        <v>83</v>
      </c>
      <c r="B3268" s="121" t="s">
        <v>143</v>
      </c>
      <c r="C3268" s="62">
        <f>VLOOKUP(B3268,合并仓明细!$D$2:$F$74,3,0)</f>
        <v>131</v>
      </c>
      <c r="D3268" s="122" t="s">
        <v>413</v>
      </c>
      <c r="E3268" s="123">
        <v>45987</v>
      </c>
      <c r="F3268" s="121" t="s">
        <v>67</v>
      </c>
      <c r="G3268" s="121">
        <v>33200.356774</v>
      </c>
      <c r="H3268" s="124"/>
      <c r="I3268" s="125"/>
      <c r="J3268" s="125"/>
      <c r="K3268" s="125"/>
      <c r="L3268" s="121"/>
      <c r="M3268" s="126"/>
      <c r="N3268" s="121"/>
    </row>
    <row r="3269" spans="1:14" x14ac:dyDescent="0.25">
      <c r="A3269" s="121" t="s">
        <v>83</v>
      </c>
      <c r="B3269" s="121" t="s">
        <v>143</v>
      </c>
      <c r="C3269" s="62">
        <f>VLOOKUP(B3269,合并仓明细!$D$2:$F$74,3,0)</f>
        <v>131</v>
      </c>
      <c r="D3269" s="122" t="s">
        <v>413</v>
      </c>
      <c r="E3269" s="123">
        <v>45987</v>
      </c>
      <c r="F3269" s="121" t="s">
        <v>66</v>
      </c>
      <c r="G3269" s="121">
        <v>2121.5701914500009</v>
      </c>
      <c r="H3269" s="124"/>
      <c r="I3269" s="125"/>
      <c r="J3269" s="125"/>
      <c r="K3269" s="125"/>
      <c r="L3269" s="121"/>
      <c r="M3269" s="126"/>
      <c r="N3269" s="121"/>
    </row>
    <row r="3270" spans="1:14" x14ac:dyDescent="0.25">
      <c r="A3270" s="121" t="s">
        <v>83</v>
      </c>
      <c r="B3270" s="121" t="s">
        <v>143</v>
      </c>
      <c r="C3270" s="62">
        <f>VLOOKUP(B3270,合并仓明细!$D$2:$F$74,3,0)</f>
        <v>131</v>
      </c>
      <c r="D3270" s="122" t="s">
        <v>413</v>
      </c>
      <c r="E3270" s="123">
        <v>45992</v>
      </c>
      <c r="F3270" s="121" t="s">
        <v>66</v>
      </c>
      <c r="G3270" s="121">
        <v>3.12</v>
      </c>
      <c r="H3270" s="124">
        <v>3.1199999999999999E-3</v>
      </c>
      <c r="I3270" s="125"/>
      <c r="J3270" s="125"/>
      <c r="K3270" s="125"/>
      <c r="L3270" s="37">
        <f>IF(H3270&gt;30,QUOTIENT(H3270,30)*VLOOKUP(D3270,'报价表-配送'!$B$9:$I$13,8,0),0)+IF(AND(MOD(H3270,30)&gt;18,MOD(H3270,30)&lt;=30),1,0)*VLOOKUP(D3270,'报价表-配送'!$B$9:$I$13,8,0)+IF(AND(MOD(H3270,30)&gt;8,MOD(H3270,30)&lt;=18),1*VLOOKUP(D3270,'报价表-配送'!$B$9:$I$13,7,0),0)+IF(AND(MOD(H3270,30)&lt;=8,MOD(H3270,30)&gt;2.5),1,0)*VLOOKUP(D3270,'报价表-配送'!$B$9:$I$13,6,0)+IF(AND(MOD(H3270,30)&lt;=2.5,MOD(H3270,30)&gt;=1.5),1,0)*VLOOKUP(D3270,'报价表-配送'!$B$9:$I$13,5,0)</f>
        <v>0</v>
      </c>
      <c r="M3270" s="39">
        <f>IF(AND(MOD(H3270,30)&lt;1.5,MOD(H3270,30)&gt;=0.5),H3270,0)*VLOOKUP(D3270,'报价表-配送'!$B$9:$I$13,4,0)*1000+IF(AND(MOD(H3270,30)&lt;0.5,MOD(H3270,30)&gt;=0.02),H3270,0)*VLOOKUP(D3270,'报价表-配送'!$B$9:$I$13,3,0)*1000+IF(AND(MOD(H3270,30)&lt;0.02),H3270,0)*VLOOKUP(D3270,'报价表-配送'!$B$9:$I$13,2,0)*1000</f>
        <v>0</v>
      </c>
      <c r="N3270" s="127">
        <f t="shared" ref="N3270:N3271" si="176">SUM(I3270:L3270)</f>
        <v>0</v>
      </c>
    </row>
    <row r="3271" spans="1:14" x14ac:dyDescent="0.25">
      <c r="A3271" s="121" t="s">
        <v>83</v>
      </c>
      <c r="B3271" s="121" t="s">
        <v>143</v>
      </c>
      <c r="C3271" s="62">
        <f>VLOOKUP(B3271,合并仓明细!$D$2:$F$74,3,0)</f>
        <v>131</v>
      </c>
      <c r="D3271" s="122" t="s">
        <v>413</v>
      </c>
      <c r="E3271" s="123">
        <v>45994</v>
      </c>
      <c r="F3271" s="121" t="s">
        <v>68</v>
      </c>
      <c r="G3271" s="121">
        <v>2766.5680000000002</v>
      </c>
      <c r="H3271" s="124">
        <v>32.318052080000001</v>
      </c>
      <c r="I3271" s="46">
        <f>ROUNDUP(H3271/30,0)*VLOOKUP(D3271,'报价表-配送'!$B$9:$I$13,8,0)</f>
        <v>0</v>
      </c>
      <c r="J3271" s="125"/>
      <c r="K3271" s="125"/>
      <c r="L3271" s="121"/>
      <c r="M3271" s="126"/>
      <c r="N3271" s="127">
        <f t="shared" si="176"/>
        <v>0</v>
      </c>
    </row>
    <row r="3272" spans="1:14" x14ac:dyDescent="0.25">
      <c r="A3272" s="121" t="s">
        <v>83</v>
      </c>
      <c r="B3272" s="121" t="s">
        <v>143</v>
      </c>
      <c r="C3272" s="62">
        <f>VLOOKUP(B3272,合并仓明细!$D$2:$F$74,3,0)</f>
        <v>131</v>
      </c>
      <c r="D3272" s="122" t="s">
        <v>413</v>
      </c>
      <c r="E3272" s="123">
        <v>45994</v>
      </c>
      <c r="F3272" s="121" t="s">
        <v>67</v>
      </c>
      <c r="G3272" s="121">
        <v>28696.594079999999</v>
      </c>
      <c r="H3272" s="124"/>
      <c r="I3272" s="125"/>
      <c r="J3272" s="125"/>
      <c r="K3272" s="125"/>
      <c r="L3272" s="121"/>
      <c r="M3272" s="126"/>
      <c r="N3272" s="121"/>
    </row>
    <row r="3273" spans="1:14" x14ac:dyDescent="0.25">
      <c r="A3273" s="121" t="s">
        <v>83</v>
      </c>
      <c r="B3273" s="121" t="s">
        <v>143</v>
      </c>
      <c r="C3273" s="62">
        <f>VLOOKUP(B3273,合并仓明细!$D$2:$F$74,3,0)</f>
        <v>131</v>
      </c>
      <c r="D3273" s="122" t="s">
        <v>413</v>
      </c>
      <c r="E3273" s="123">
        <v>45994</v>
      </c>
      <c r="F3273" s="121" t="s">
        <v>66</v>
      </c>
      <c r="G3273" s="121">
        <v>854.89</v>
      </c>
      <c r="H3273" s="124"/>
      <c r="I3273" s="125"/>
      <c r="J3273" s="125"/>
      <c r="K3273" s="125"/>
      <c r="L3273" s="121"/>
      <c r="M3273" s="126"/>
      <c r="N3273" s="121"/>
    </row>
    <row r="3274" spans="1:14" x14ac:dyDescent="0.25">
      <c r="A3274" s="121" t="s">
        <v>83</v>
      </c>
      <c r="B3274" s="121" t="s">
        <v>143</v>
      </c>
      <c r="C3274" s="62">
        <f>VLOOKUP(B3274,合并仓明细!$D$2:$F$74,3,0)</f>
        <v>131</v>
      </c>
      <c r="D3274" s="122" t="s">
        <v>413</v>
      </c>
      <c r="E3274" s="123">
        <v>45995</v>
      </c>
      <c r="F3274" s="121" t="s">
        <v>68</v>
      </c>
      <c r="G3274" s="121">
        <v>38.31</v>
      </c>
      <c r="H3274" s="124">
        <v>1.9493155666399997</v>
      </c>
      <c r="I3274" s="46">
        <f>ROUNDUP(H3274/30,0)*VLOOKUP(D3274,'报价表-配送'!$B$9:$I$13,8,0)</f>
        <v>0</v>
      </c>
      <c r="J3274" s="125"/>
      <c r="K3274" s="125"/>
      <c r="L3274" s="121"/>
      <c r="M3274" s="126"/>
      <c r="N3274" s="127">
        <f t="shared" ref="N3274" si="177">SUM(I3274:L3274)</f>
        <v>0</v>
      </c>
    </row>
    <row r="3275" spans="1:14" x14ac:dyDescent="0.25">
      <c r="A3275" s="121" t="s">
        <v>83</v>
      </c>
      <c r="B3275" s="121" t="s">
        <v>143</v>
      </c>
      <c r="C3275" s="62">
        <f>VLOOKUP(B3275,合并仓明细!$D$2:$F$74,3,0)</f>
        <v>131</v>
      </c>
      <c r="D3275" s="122" t="s">
        <v>413</v>
      </c>
      <c r="E3275" s="123">
        <v>45995</v>
      </c>
      <c r="F3275" s="121" t="s">
        <v>67</v>
      </c>
      <c r="G3275" s="121">
        <v>235.14890000000003</v>
      </c>
      <c r="H3275" s="124"/>
      <c r="I3275" s="125"/>
      <c r="J3275" s="125"/>
      <c r="K3275" s="125"/>
      <c r="L3275" s="121"/>
      <c r="M3275" s="126"/>
      <c r="N3275" s="121"/>
    </row>
    <row r="3276" spans="1:14" x14ac:dyDescent="0.25">
      <c r="A3276" s="121" t="s">
        <v>83</v>
      </c>
      <c r="B3276" s="121" t="s">
        <v>143</v>
      </c>
      <c r="C3276" s="62">
        <f>VLOOKUP(B3276,合并仓明细!$D$2:$F$74,3,0)</f>
        <v>131</v>
      </c>
      <c r="D3276" s="122" t="s">
        <v>413</v>
      </c>
      <c r="E3276" s="123">
        <v>45995</v>
      </c>
      <c r="F3276" s="121" t="s">
        <v>66</v>
      </c>
      <c r="G3276" s="121">
        <v>1675.8566666399997</v>
      </c>
      <c r="H3276" s="124"/>
      <c r="I3276" s="125"/>
      <c r="J3276" s="125"/>
      <c r="K3276" s="125"/>
      <c r="L3276" s="121"/>
      <c r="M3276" s="126"/>
      <c r="N3276" s="121"/>
    </row>
    <row r="3277" spans="1:14" x14ac:dyDescent="0.25">
      <c r="A3277" s="121" t="s">
        <v>83</v>
      </c>
      <c r="B3277" s="121" t="s">
        <v>143</v>
      </c>
      <c r="C3277" s="62">
        <f>VLOOKUP(B3277,合并仓明细!$D$2:$F$74,3,0)</f>
        <v>131</v>
      </c>
      <c r="D3277" s="122" t="s">
        <v>413</v>
      </c>
      <c r="E3277" s="123">
        <v>45996</v>
      </c>
      <c r="F3277" s="121" t="s">
        <v>68</v>
      </c>
      <c r="G3277" s="121">
        <v>20766.091359999999</v>
      </c>
      <c r="H3277" s="124">
        <v>24.725195526319997</v>
      </c>
      <c r="I3277" s="46">
        <f>ROUNDUP(H3277/30,0)*VLOOKUP(D3277,'报价表-配送'!$B$9:$I$13,8,0)</f>
        <v>0</v>
      </c>
      <c r="J3277" s="125"/>
      <c r="K3277" s="125"/>
      <c r="L3277" s="121"/>
      <c r="M3277" s="126"/>
      <c r="N3277" s="127">
        <f t="shared" ref="N3277" si="178">SUM(I3277:L3277)</f>
        <v>0</v>
      </c>
    </row>
    <row r="3278" spans="1:14" x14ac:dyDescent="0.25">
      <c r="A3278" s="121" t="s">
        <v>83</v>
      </c>
      <c r="B3278" s="121" t="s">
        <v>143</v>
      </c>
      <c r="C3278" s="62">
        <f>VLOOKUP(B3278,合并仓明细!$D$2:$F$74,3,0)</f>
        <v>131</v>
      </c>
      <c r="D3278" s="122" t="s">
        <v>413</v>
      </c>
      <c r="E3278" s="123">
        <v>45996</v>
      </c>
      <c r="F3278" s="121" t="s">
        <v>66</v>
      </c>
      <c r="G3278" s="121">
        <v>3959.1041663199985</v>
      </c>
      <c r="H3278" s="124"/>
      <c r="I3278" s="125"/>
      <c r="J3278" s="125"/>
      <c r="K3278" s="125"/>
      <c r="L3278" s="121"/>
      <c r="M3278" s="126"/>
      <c r="N3278" s="121"/>
    </row>
    <row r="3279" spans="1:14" x14ac:dyDescent="0.25">
      <c r="A3279" s="121" t="s">
        <v>83</v>
      </c>
      <c r="B3279" s="121" t="s">
        <v>143</v>
      </c>
      <c r="C3279" s="62">
        <f>VLOOKUP(B3279,合并仓明细!$D$2:$F$74,3,0)</f>
        <v>131</v>
      </c>
      <c r="D3279" s="122" t="s">
        <v>413</v>
      </c>
      <c r="E3279" s="123">
        <v>45999</v>
      </c>
      <c r="F3279" s="121" t="s">
        <v>67</v>
      </c>
      <c r="G3279" s="121">
        <v>9339.3241919999982</v>
      </c>
      <c r="H3279" s="124">
        <v>18.918660858579997</v>
      </c>
      <c r="I3279" s="38">
        <f>IF(H3279&gt;30,QUOTIENT(H3279,30)*VLOOKUP(D3279,'报价表-配送'!$B$9:$I$13,8,0),0)+IF(AND(MOD(H3279,30)&gt;18,MOD(H3279,30)&lt;=30),1,0)*VLOOKUP(D3279,'报价表-配送'!$B$9:$I$13,8,0)</f>
        <v>0</v>
      </c>
      <c r="J3279" s="38">
        <f>IF(AND(MOD(H3279,30)&gt;8,MOD(H3279,30)&lt;=18),1*VLOOKUP(D3279,'报价表-配送'!$B$9:$I$13,7,0),0)</f>
        <v>0</v>
      </c>
      <c r="K3279" s="38">
        <f>IF(AND(MOD(H3279,30)&lt;=8,MOD(H3279,30)&gt;0),1,0)*VLOOKUP(D3279,'报价表-配送'!$B$9:$I$13,6,0)</f>
        <v>0</v>
      </c>
      <c r="L3279" s="121"/>
      <c r="M3279" s="126"/>
      <c r="N3279" s="127">
        <f t="shared" ref="N3279" si="179">SUM(I3279:L3279)</f>
        <v>0</v>
      </c>
    </row>
    <row r="3280" spans="1:14" x14ac:dyDescent="0.25">
      <c r="A3280" s="121" t="s">
        <v>83</v>
      </c>
      <c r="B3280" s="121" t="s">
        <v>143</v>
      </c>
      <c r="C3280" s="62">
        <f>VLOOKUP(B3280,合并仓明细!$D$2:$F$74,3,0)</f>
        <v>131</v>
      </c>
      <c r="D3280" s="122" t="s">
        <v>413</v>
      </c>
      <c r="E3280" s="123">
        <v>45999</v>
      </c>
      <c r="F3280" s="121" t="s">
        <v>66</v>
      </c>
      <c r="G3280" s="121">
        <v>9579.3366665799986</v>
      </c>
      <c r="H3280" s="124"/>
      <c r="I3280" s="125"/>
      <c r="J3280" s="125"/>
      <c r="K3280" s="125"/>
      <c r="L3280" s="121"/>
      <c r="M3280" s="126"/>
      <c r="N3280" s="121"/>
    </row>
    <row r="3281" spans="1:14" x14ac:dyDescent="0.25">
      <c r="A3281" s="121" t="s">
        <v>83</v>
      </c>
      <c r="B3281" s="121" t="s">
        <v>143</v>
      </c>
      <c r="C3281" s="62">
        <f>VLOOKUP(B3281,合并仓明细!$D$2:$F$74,3,0)</f>
        <v>131</v>
      </c>
      <c r="D3281" s="122" t="s">
        <v>413</v>
      </c>
      <c r="E3281" s="123">
        <v>46000</v>
      </c>
      <c r="F3281" s="121" t="s">
        <v>68</v>
      </c>
      <c r="G3281" s="121">
        <v>2135.1</v>
      </c>
      <c r="H3281" s="124">
        <v>52.985105083999997</v>
      </c>
      <c r="I3281" s="46">
        <f>ROUNDUP(H3281/30,0)*VLOOKUP(D3281,'报价表-配送'!$B$9:$I$13,8,0)</f>
        <v>0</v>
      </c>
      <c r="J3281" s="125"/>
      <c r="K3281" s="125"/>
      <c r="L3281" s="121"/>
      <c r="M3281" s="126"/>
      <c r="N3281" s="127">
        <f t="shared" ref="N3281" si="180">SUM(I3281:L3281)</f>
        <v>0</v>
      </c>
    </row>
    <row r="3282" spans="1:14" x14ac:dyDescent="0.25">
      <c r="A3282" s="121" t="s">
        <v>83</v>
      </c>
      <c r="B3282" s="121" t="s">
        <v>143</v>
      </c>
      <c r="C3282" s="62">
        <f>VLOOKUP(B3282,合并仓明细!$D$2:$F$74,3,0)</f>
        <v>131</v>
      </c>
      <c r="D3282" s="122" t="s">
        <v>413</v>
      </c>
      <c r="E3282" s="123">
        <v>46000</v>
      </c>
      <c r="F3282" s="121" t="s">
        <v>67</v>
      </c>
      <c r="G3282" s="121">
        <v>32036.075083999996</v>
      </c>
      <c r="H3282" s="124"/>
      <c r="I3282" s="125"/>
      <c r="J3282" s="125"/>
      <c r="K3282" s="125"/>
      <c r="L3282" s="121"/>
      <c r="M3282" s="126"/>
      <c r="N3282" s="121"/>
    </row>
    <row r="3283" spans="1:14" x14ac:dyDescent="0.25">
      <c r="A3283" s="121" t="s">
        <v>83</v>
      </c>
      <c r="B3283" s="121" t="s">
        <v>143</v>
      </c>
      <c r="C3283" s="62">
        <f>VLOOKUP(B3283,合并仓明细!$D$2:$F$74,3,0)</f>
        <v>131</v>
      </c>
      <c r="D3283" s="122" t="s">
        <v>413</v>
      </c>
      <c r="E3283" s="123">
        <v>46000</v>
      </c>
      <c r="F3283" s="121" t="s">
        <v>66</v>
      </c>
      <c r="G3283" s="121">
        <v>18813.930000000004</v>
      </c>
      <c r="H3283" s="124"/>
      <c r="I3283" s="125"/>
      <c r="J3283" s="125"/>
      <c r="K3283" s="125"/>
      <c r="L3283" s="121"/>
      <c r="M3283" s="126"/>
      <c r="N3283" s="121"/>
    </row>
    <row r="3284" spans="1:14" x14ac:dyDescent="0.25">
      <c r="A3284" s="121" t="s">
        <v>83</v>
      </c>
      <c r="B3284" s="121" t="s">
        <v>143</v>
      </c>
      <c r="C3284" s="62">
        <f>VLOOKUP(B3284,合并仓明细!$D$2:$F$74,3,0)</f>
        <v>131</v>
      </c>
      <c r="D3284" s="122" t="s">
        <v>413</v>
      </c>
      <c r="E3284" s="123">
        <v>46001</v>
      </c>
      <c r="F3284" s="121" t="s">
        <v>66</v>
      </c>
      <c r="G3284" s="121">
        <v>536.89</v>
      </c>
      <c r="H3284" s="124">
        <v>0.53688999999999998</v>
      </c>
      <c r="I3284" s="125"/>
      <c r="J3284" s="125"/>
      <c r="K3284" s="125"/>
      <c r="L3284" s="37">
        <f>IF(H3284&gt;30,QUOTIENT(H3284,30)*VLOOKUP(D3284,'报价表-配送'!$B$9:$I$13,8,0),0)+IF(AND(MOD(H3284,30)&gt;18,MOD(H3284,30)&lt;=30),1,0)*VLOOKUP(D3284,'报价表-配送'!$B$9:$I$13,8,0)+IF(AND(MOD(H3284,30)&gt;8,MOD(H3284,30)&lt;=18),1*VLOOKUP(D3284,'报价表-配送'!$B$9:$I$13,7,0),0)+IF(AND(MOD(H3284,30)&lt;=8,MOD(H3284,30)&gt;2.5),1,0)*VLOOKUP(D3284,'报价表-配送'!$B$9:$I$13,6,0)+IF(AND(MOD(H3284,30)&lt;=2.5,MOD(H3284,30)&gt;=1.5),1,0)*VLOOKUP(D3284,'报价表-配送'!$B$9:$I$13,5,0)</f>
        <v>0</v>
      </c>
      <c r="M3284" s="39">
        <f>IF(AND(MOD(H3284,30)&lt;1.5,MOD(H3284,30)&gt;=0.5),H3284,0)*VLOOKUP(D3284,'报价表-配送'!$B$9:$I$13,4,0)*1000+IF(AND(MOD(H3284,30)&lt;0.5,MOD(H3284,30)&gt;=0.02),H3284,0)*VLOOKUP(D3284,'报价表-配送'!$B$9:$I$13,3,0)*1000+IF(AND(MOD(H3284,30)&lt;0.02),H3284,0)*VLOOKUP(D3284,'报价表-配送'!$B$9:$I$13,2,0)*1000</f>
        <v>0</v>
      </c>
      <c r="N3284" s="127">
        <f t="shared" ref="N3284:N3285" si="181">SUM(I3284:L3284)</f>
        <v>0</v>
      </c>
    </row>
    <row r="3285" spans="1:14" x14ac:dyDescent="0.25">
      <c r="A3285" s="121" t="s">
        <v>83</v>
      </c>
      <c r="B3285" s="121" t="s">
        <v>143</v>
      </c>
      <c r="C3285" s="62">
        <f>VLOOKUP(B3285,合并仓明细!$D$2:$F$74,3,0)</f>
        <v>131</v>
      </c>
      <c r="D3285" s="122" t="s">
        <v>413</v>
      </c>
      <c r="E3285" s="123">
        <v>46002</v>
      </c>
      <c r="F3285" s="121" t="s">
        <v>67</v>
      </c>
      <c r="G3285" s="121">
        <v>141.69999999999999</v>
      </c>
      <c r="H3285" s="124">
        <v>4.5164249999999981</v>
      </c>
      <c r="I3285" s="38">
        <f>IF(H3285&gt;30,QUOTIENT(H3285,30)*VLOOKUP(D3285,'报价表-配送'!$B$9:$I$13,8,0),0)+IF(AND(MOD(H3285,30)&gt;18,MOD(H3285,30)&lt;=30),1,0)*VLOOKUP(D3285,'报价表-配送'!$B$9:$I$13,8,0)</f>
        <v>0</v>
      </c>
      <c r="J3285" s="38">
        <f>IF(AND(MOD(H3285,30)&gt;8,MOD(H3285,30)&lt;=18),1*VLOOKUP(D3285,'报价表-配送'!$B$9:$I$13,7,0),0)</f>
        <v>0</v>
      </c>
      <c r="K3285" s="38">
        <f>IF(AND(MOD(H3285,30)&lt;=8,MOD(H3285,30)&gt;0),1,0)*VLOOKUP(D3285,'报价表-配送'!$B$9:$I$13,6,0)</f>
        <v>0</v>
      </c>
      <c r="L3285" s="121"/>
      <c r="M3285" s="126"/>
      <c r="N3285" s="127">
        <f t="shared" si="181"/>
        <v>0</v>
      </c>
    </row>
    <row r="3286" spans="1:14" x14ac:dyDescent="0.25">
      <c r="A3286" s="121" t="s">
        <v>83</v>
      </c>
      <c r="B3286" s="121" t="s">
        <v>143</v>
      </c>
      <c r="C3286" s="62">
        <f>VLOOKUP(B3286,合并仓明细!$D$2:$F$74,3,0)</f>
        <v>131</v>
      </c>
      <c r="D3286" s="122" t="s">
        <v>413</v>
      </c>
      <c r="E3286" s="123">
        <v>46002</v>
      </c>
      <c r="F3286" s="121" t="s">
        <v>66</v>
      </c>
      <c r="G3286" s="121">
        <v>4374.7249999999985</v>
      </c>
      <c r="H3286" s="124"/>
      <c r="I3286" s="125"/>
      <c r="J3286" s="125"/>
      <c r="K3286" s="125"/>
      <c r="L3286" s="121"/>
      <c r="M3286" s="126"/>
      <c r="N3286" s="121"/>
    </row>
    <row r="3287" spans="1:14" x14ac:dyDescent="0.25">
      <c r="A3287" s="121" t="s">
        <v>83</v>
      </c>
      <c r="B3287" s="121" t="s">
        <v>143</v>
      </c>
      <c r="C3287" s="62">
        <f>VLOOKUP(B3287,合并仓明细!$D$2:$F$74,3,0)</f>
        <v>131</v>
      </c>
      <c r="D3287" s="122" t="s">
        <v>413</v>
      </c>
      <c r="E3287" s="123">
        <v>46003</v>
      </c>
      <c r="F3287" s="121" t="s">
        <v>68</v>
      </c>
      <c r="G3287" s="121">
        <v>207.41</v>
      </c>
      <c r="H3287" s="124">
        <v>8.010687482669999</v>
      </c>
      <c r="I3287" s="46">
        <f>ROUNDUP(H3287/30,0)*VLOOKUP(D3287,'报价表-配送'!$B$9:$I$13,8,0)</f>
        <v>0</v>
      </c>
      <c r="J3287" s="125"/>
      <c r="K3287" s="125"/>
      <c r="L3287" s="121"/>
      <c r="M3287" s="126"/>
      <c r="N3287" s="127">
        <f t="shared" ref="N3287" si="182">SUM(I3287:L3287)</f>
        <v>0</v>
      </c>
    </row>
    <row r="3288" spans="1:14" x14ac:dyDescent="0.25">
      <c r="A3288" s="121" t="s">
        <v>83</v>
      </c>
      <c r="B3288" s="121" t="s">
        <v>143</v>
      </c>
      <c r="C3288" s="62">
        <f>VLOOKUP(B3288,合并仓明细!$D$2:$F$74,3,0)</f>
        <v>131</v>
      </c>
      <c r="D3288" s="122" t="s">
        <v>413</v>
      </c>
      <c r="E3288" s="123">
        <v>46003</v>
      </c>
      <c r="F3288" s="121" t="s">
        <v>67</v>
      </c>
      <c r="G3288" s="121">
        <v>3639.1788200000001</v>
      </c>
      <c r="H3288" s="124"/>
      <c r="I3288" s="125"/>
      <c r="J3288" s="125"/>
      <c r="K3288" s="125"/>
      <c r="L3288" s="121"/>
      <c r="M3288" s="126"/>
      <c r="N3288" s="121"/>
    </row>
    <row r="3289" spans="1:14" x14ac:dyDescent="0.25">
      <c r="A3289" s="121" t="s">
        <v>83</v>
      </c>
      <c r="B3289" s="121" t="s">
        <v>143</v>
      </c>
      <c r="C3289" s="62">
        <f>VLOOKUP(B3289,合并仓明细!$D$2:$F$74,3,0)</f>
        <v>131</v>
      </c>
      <c r="D3289" s="122" t="s">
        <v>413</v>
      </c>
      <c r="E3289" s="123">
        <v>46003</v>
      </c>
      <c r="F3289" s="121" t="s">
        <v>66</v>
      </c>
      <c r="G3289" s="121">
        <v>4164.0986626699987</v>
      </c>
      <c r="H3289" s="124"/>
      <c r="I3289" s="125"/>
      <c r="J3289" s="125"/>
      <c r="K3289" s="125"/>
      <c r="L3289" s="121"/>
      <c r="M3289" s="126"/>
      <c r="N3289" s="121"/>
    </row>
    <row r="3290" spans="1:14" x14ac:dyDescent="0.25">
      <c r="A3290" s="121" t="s">
        <v>83</v>
      </c>
      <c r="B3290" s="121" t="s">
        <v>143</v>
      </c>
      <c r="C3290" s="62">
        <f>VLOOKUP(B3290,合并仓明细!$D$2:$F$74,3,0)</f>
        <v>131</v>
      </c>
      <c r="D3290" s="122" t="s">
        <v>413</v>
      </c>
      <c r="E3290" s="123">
        <v>46007</v>
      </c>
      <c r="F3290" s="121" t="s">
        <v>66</v>
      </c>
      <c r="G3290" s="121">
        <v>336.39390000000003</v>
      </c>
      <c r="H3290" s="124">
        <v>0.33639390000000002</v>
      </c>
      <c r="I3290" s="125"/>
      <c r="J3290" s="125"/>
      <c r="K3290" s="125"/>
      <c r="L3290" s="37">
        <f>IF(H3290&gt;30,QUOTIENT(H3290,30)*VLOOKUP(D3290,'报价表-配送'!$B$9:$I$13,8,0),0)+IF(AND(MOD(H3290,30)&gt;18,MOD(H3290,30)&lt;=30),1,0)*VLOOKUP(D3290,'报价表-配送'!$B$9:$I$13,8,0)+IF(AND(MOD(H3290,30)&gt;8,MOD(H3290,30)&lt;=18),1*VLOOKUP(D3290,'报价表-配送'!$B$9:$I$13,7,0),0)+IF(AND(MOD(H3290,30)&lt;=8,MOD(H3290,30)&gt;2.5),1,0)*VLOOKUP(D3290,'报价表-配送'!$B$9:$I$13,6,0)+IF(AND(MOD(H3290,30)&lt;=2.5,MOD(H3290,30)&gt;=1.5),1,0)*VLOOKUP(D3290,'报价表-配送'!$B$9:$I$13,5,0)</f>
        <v>0</v>
      </c>
      <c r="M3290" s="39">
        <f>IF(AND(MOD(H3290,30)&lt;1.5,MOD(H3290,30)&gt;=0.5),H3290,0)*VLOOKUP(D3290,'报价表-配送'!$B$9:$I$13,4,0)*1000+IF(AND(MOD(H3290,30)&lt;0.5,MOD(H3290,30)&gt;=0.02),H3290,0)*VLOOKUP(D3290,'报价表-配送'!$B$9:$I$13,3,0)*1000+IF(AND(MOD(H3290,30)&lt;0.02),H3290,0)*VLOOKUP(D3290,'报价表-配送'!$B$9:$I$13,2,0)*1000</f>
        <v>0</v>
      </c>
      <c r="N3290" s="127">
        <f t="shared" ref="N3290:N3291" si="183">SUM(I3290:L3290)</f>
        <v>0</v>
      </c>
    </row>
    <row r="3291" spans="1:14" x14ac:dyDescent="0.25">
      <c r="A3291" s="121" t="s">
        <v>83</v>
      </c>
      <c r="B3291" s="121" t="s">
        <v>143</v>
      </c>
      <c r="C3291" s="62">
        <f>VLOOKUP(B3291,合并仓明细!$D$2:$F$74,3,0)</f>
        <v>131</v>
      </c>
      <c r="D3291" s="122" t="s">
        <v>413</v>
      </c>
      <c r="E3291" s="123">
        <v>46008</v>
      </c>
      <c r="F3291" s="121" t="s">
        <v>67</v>
      </c>
      <c r="G3291" s="121">
        <v>41947.014440000006</v>
      </c>
      <c r="H3291" s="124">
        <v>42.335304440000009</v>
      </c>
      <c r="I3291" s="38">
        <f>IF(H3291&gt;30,QUOTIENT(H3291,30)*VLOOKUP(D3291,'报价表-配送'!$B$9:$I$13,8,0),0)+IF(AND(MOD(H3291,30)&gt;18,MOD(H3291,30)&lt;=30),1,0)*VLOOKUP(D3291,'报价表-配送'!$B$9:$I$13,8,0)</f>
        <v>0</v>
      </c>
      <c r="J3291" s="38">
        <f>IF(AND(MOD(H3291,30)&gt;8,MOD(H3291,30)&lt;=18),1*VLOOKUP(D3291,'报价表-配送'!$B$9:$I$13,7,0),0)</f>
        <v>0</v>
      </c>
      <c r="K3291" s="38">
        <f>IF(AND(MOD(H3291,30)&lt;=8,MOD(H3291,30)&gt;0),1,0)*VLOOKUP(D3291,'报价表-配送'!$B$9:$I$13,6,0)</f>
        <v>0</v>
      </c>
      <c r="L3291" s="121"/>
      <c r="M3291" s="126"/>
      <c r="N3291" s="127">
        <f t="shared" si="183"/>
        <v>0</v>
      </c>
    </row>
    <row r="3292" spans="1:14" x14ac:dyDescent="0.25">
      <c r="A3292" s="121" t="s">
        <v>83</v>
      </c>
      <c r="B3292" s="121" t="s">
        <v>143</v>
      </c>
      <c r="C3292" s="62">
        <f>VLOOKUP(B3292,合并仓明细!$D$2:$F$74,3,0)</f>
        <v>131</v>
      </c>
      <c r="D3292" s="122" t="s">
        <v>413</v>
      </c>
      <c r="E3292" s="123">
        <v>46008</v>
      </c>
      <c r="F3292" s="121" t="s">
        <v>66</v>
      </c>
      <c r="G3292" s="121">
        <v>388.28999999999996</v>
      </c>
      <c r="H3292" s="124"/>
      <c r="I3292" s="125"/>
      <c r="J3292" s="125"/>
      <c r="K3292" s="125"/>
      <c r="L3292" s="121"/>
      <c r="M3292" s="126"/>
      <c r="N3292" s="121"/>
    </row>
    <row r="3293" spans="1:14" x14ac:dyDescent="0.25">
      <c r="A3293" s="121" t="s">
        <v>83</v>
      </c>
      <c r="B3293" s="121" t="s">
        <v>143</v>
      </c>
      <c r="C3293" s="62">
        <f>VLOOKUP(B3293,合并仓明细!$D$2:$F$74,3,0)</f>
        <v>131</v>
      </c>
      <c r="D3293" s="122" t="s">
        <v>413</v>
      </c>
      <c r="E3293" s="123">
        <v>46009</v>
      </c>
      <c r="F3293" s="121" t="s">
        <v>68</v>
      </c>
      <c r="G3293" s="121">
        <v>2884.2839999999997</v>
      </c>
      <c r="H3293" s="124">
        <v>6.3859208599999997</v>
      </c>
      <c r="I3293" s="46">
        <f>ROUNDUP(H3293/30,0)*VLOOKUP(D3293,'报价表-配送'!$B$9:$I$13,8,0)</f>
        <v>0</v>
      </c>
      <c r="J3293" s="125"/>
      <c r="K3293" s="125"/>
      <c r="L3293" s="121"/>
      <c r="M3293" s="126"/>
      <c r="N3293" s="127">
        <f t="shared" ref="N3293" si="184">SUM(I3293:L3293)</f>
        <v>0</v>
      </c>
    </row>
    <row r="3294" spans="1:14" x14ac:dyDescent="0.25">
      <c r="A3294" s="121" t="s">
        <v>83</v>
      </c>
      <c r="B3294" s="121" t="s">
        <v>143</v>
      </c>
      <c r="C3294" s="62">
        <f>VLOOKUP(B3294,合并仓明细!$D$2:$F$74,3,0)</f>
        <v>131</v>
      </c>
      <c r="D3294" s="122" t="s">
        <v>413</v>
      </c>
      <c r="E3294" s="123">
        <v>46009</v>
      </c>
      <c r="F3294" s="121" t="s">
        <v>67</v>
      </c>
      <c r="G3294" s="121">
        <v>3408.23686</v>
      </c>
      <c r="H3294" s="124"/>
      <c r="I3294" s="125"/>
      <c r="J3294" s="125"/>
      <c r="K3294" s="125"/>
      <c r="L3294" s="121"/>
      <c r="M3294" s="126"/>
      <c r="N3294" s="121"/>
    </row>
    <row r="3295" spans="1:14" x14ac:dyDescent="0.25">
      <c r="A3295" s="121" t="s">
        <v>83</v>
      </c>
      <c r="B3295" s="121" t="s">
        <v>143</v>
      </c>
      <c r="C3295" s="62">
        <f>VLOOKUP(B3295,合并仓明细!$D$2:$F$74,3,0)</f>
        <v>131</v>
      </c>
      <c r="D3295" s="122" t="s">
        <v>413</v>
      </c>
      <c r="E3295" s="123">
        <v>46009</v>
      </c>
      <c r="F3295" s="121" t="s">
        <v>66</v>
      </c>
      <c r="G3295" s="121">
        <v>93.40000000000002</v>
      </c>
      <c r="H3295" s="124"/>
      <c r="I3295" s="125"/>
      <c r="J3295" s="125"/>
      <c r="K3295" s="125"/>
      <c r="L3295" s="121"/>
      <c r="M3295" s="126"/>
      <c r="N3295" s="121"/>
    </row>
    <row r="3296" spans="1:14" x14ac:dyDescent="0.25">
      <c r="A3296" s="121" t="s">
        <v>83</v>
      </c>
      <c r="B3296" s="121" t="s">
        <v>143</v>
      </c>
      <c r="C3296" s="62">
        <f>VLOOKUP(B3296,合并仓明细!$D$2:$F$74,3,0)</f>
        <v>131</v>
      </c>
      <c r="D3296" s="122" t="s">
        <v>413</v>
      </c>
      <c r="E3296" s="123">
        <v>46010</v>
      </c>
      <c r="F3296" s="121" t="s">
        <v>66</v>
      </c>
      <c r="G3296" s="121">
        <v>1107.8450000000003</v>
      </c>
      <c r="H3296" s="124">
        <v>1.1078450000000002</v>
      </c>
      <c r="I3296" s="125"/>
      <c r="J3296" s="125"/>
      <c r="K3296" s="125"/>
      <c r="L3296" s="37">
        <f>IF(H3296&gt;30,QUOTIENT(H3296,30)*VLOOKUP(D3296,'报价表-配送'!$B$9:$I$13,8,0),0)+IF(AND(MOD(H3296,30)&gt;18,MOD(H3296,30)&lt;=30),1,0)*VLOOKUP(D3296,'报价表-配送'!$B$9:$I$13,8,0)+IF(AND(MOD(H3296,30)&gt;8,MOD(H3296,30)&lt;=18),1*VLOOKUP(D3296,'报价表-配送'!$B$9:$I$13,7,0),0)+IF(AND(MOD(H3296,30)&lt;=8,MOD(H3296,30)&gt;2.5),1,0)*VLOOKUP(D3296,'报价表-配送'!$B$9:$I$13,6,0)+IF(AND(MOD(H3296,30)&lt;=2.5,MOD(H3296,30)&gt;=1.5),1,0)*VLOOKUP(D3296,'报价表-配送'!$B$9:$I$13,5,0)</f>
        <v>0</v>
      </c>
      <c r="M3296" s="39">
        <f>IF(AND(MOD(H3296,30)&lt;1.5,MOD(H3296,30)&gt;=0.5),H3296,0)*VLOOKUP(D3296,'报价表-配送'!$B$9:$I$13,4,0)*1000+IF(AND(MOD(H3296,30)&lt;0.5,MOD(H3296,30)&gt;=0.02),H3296,0)*VLOOKUP(D3296,'报价表-配送'!$B$9:$I$13,3,0)*1000+IF(AND(MOD(H3296,30)&lt;0.02),H3296,0)*VLOOKUP(D3296,'报价表-配送'!$B$9:$I$13,2,0)*1000</f>
        <v>0</v>
      </c>
      <c r="N3296" s="127">
        <f t="shared" ref="N3296:N3297" si="185">SUM(I3296:L3296)</f>
        <v>0</v>
      </c>
    </row>
    <row r="3297" spans="1:14" x14ac:dyDescent="0.25">
      <c r="A3297" s="121" t="s">
        <v>83</v>
      </c>
      <c r="B3297" s="121" t="s">
        <v>143</v>
      </c>
      <c r="C3297" s="62">
        <f>VLOOKUP(B3297,合并仓明细!$D$2:$F$74,3,0)</f>
        <v>131</v>
      </c>
      <c r="D3297" s="122" t="s">
        <v>413</v>
      </c>
      <c r="E3297" s="123">
        <v>46011</v>
      </c>
      <c r="F3297" s="121" t="s">
        <v>67</v>
      </c>
      <c r="G3297" s="121">
        <v>44149.272199999999</v>
      </c>
      <c r="H3297" s="124">
        <v>44.163326199999993</v>
      </c>
      <c r="I3297" s="38">
        <f>IF(H3297&gt;30,QUOTIENT(H3297,30)*VLOOKUP(D3297,'报价表-配送'!$B$9:$I$13,8,0),0)+IF(AND(MOD(H3297,30)&gt;18,MOD(H3297,30)&lt;=30),1,0)*VLOOKUP(D3297,'报价表-配送'!$B$9:$I$13,8,0)</f>
        <v>0</v>
      </c>
      <c r="J3297" s="38">
        <f>IF(AND(MOD(H3297,30)&gt;8,MOD(H3297,30)&lt;=18),1*VLOOKUP(D3297,'报价表-配送'!$B$9:$I$13,7,0),0)</f>
        <v>0</v>
      </c>
      <c r="K3297" s="38">
        <f>IF(AND(MOD(H3297,30)&lt;=8,MOD(H3297,30)&gt;0),1,0)*VLOOKUP(D3297,'报价表-配送'!$B$9:$I$13,6,0)</f>
        <v>0</v>
      </c>
      <c r="L3297" s="121"/>
      <c r="M3297" s="126"/>
      <c r="N3297" s="127">
        <f t="shared" si="185"/>
        <v>0</v>
      </c>
    </row>
    <row r="3298" spans="1:14" x14ac:dyDescent="0.25">
      <c r="A3298" s="121" t="s">
        <v>83</v>
      </c>
      <c r="B3298" s="121" t="s">
        <v>143</v>
      </c>
      <c r="C3298" s="62">
        <f>VLOOKUP(B3298,合并仓明细!$D$2:$F$74,3,0)</f>
        <v>131</v>
      </c>
      <c r="D3298" s="122" t="s">
        <v>413</v>
      </c>
      <c r="E3298" s="123">
        <v>46011</v>
      </c>
      <c r="F3298" s="121" t="s">
        <v>66</v>
      </c>
      <c r="G3298" s="121">
        <v>14.053999999999998</v>
      </c>
      <c r="H3298" s="124"/>
      <c r="I3298" s="125"/>
      <c r="J3298" s="125"/>
      <c r="K3298" s="125"/>
      <c r="L3298" s="121"/>
      <c r="M3298" s="126"/>
      <c r="N3298" s="121"/>
    </row>
    <row r="3299" spans="1:14" x14ac:dyDescent="0.25">
      <c r="A3299" s="121" t="s">
        <v>83</v>
      </c>
      <c r="B3299" s="121" t="s">
        <v>143</v>
      </c>
      <c r="C3299" s="62">
        <f>VLOOKUP(B3299,合并仓明细!$D$2:$F$74,3,0)</f>
        <v>131</v>
      </c>
      <c r="D3299" s="122" t="s">
        <v>413</v>
      </c>
      <c r="E3299" s="123">
        <v>46013</v>
      </c>
      <c r="F3299" s="121" t="s">
        <v>68</v>
      </c>
      <c r="G3299" s="121">
        <v>4643.2056239999993</v>
      </c>
      <c r="H3299" s="124">
        <v>12.034168891939999</v>
      </c>
      <c r="I3299" s="46">
        <f>ROUNDUP(H3299/30,0)*VLOOKUP(D3299,'报价表-配送'!$B$9:$I$13,8,0)</f>
        <v>0</v>
      </c>
      <c r="J3299" s="125"/>
      <c r="K3299" s="125"/>
      <c r="L3299" s="121"/>
      <c r="M3299" s="126"/>
      <c r="N3299" s="127">
        <f t="shared" ref="N3299" si="186">SUM(I3299:L3299)</f>
        <v>0</v>
      </c>
    </row>
    <row r="3300" spans="1:14" x14ac:dyDescent="0.25">
      <c r="A3300" s="121" t="s">
        <v>83</v>
      </c>
      <c r="B3300" s="121" t="s">
        <v>143</v>
      </c>
      <c r="C3300" s="62">
        <f>VLOOKUP(B3300,合并仓明细!$D$2:$F$74,3,0)</f>
        <v>131</v>
      </c>
      <c r="D3300" s="122" t="s">
        <v>413</v>
      </c>
      <c r="E3300" s="123">
        <v>46013</v>
      </c>
      <c r="F3300" s="121" t="s">
        <v>67</v>
      </c>
      <c r="G3300" s="121">
        <v>5894.9469800000006</v>
      </c>
      <c r="H3300" s="124"/>
      <c r="I3300" s="125"/>
      <c r="J3300" s="125"/>
      <c r="K3300" s="125"/>
      <c r="L3300" s="121"/>
      <c r="M3300" s="126"/>
      <c r="N3300" s="121"/>
    </row>
    <row r="3301" spans="1:14" x14ac:dyDescent="0.25">
      <c r="A3301" s="121" t="s">
        <v>83</v>
      </c>
      <c r="B3301" s="121" t="s">
        <v>143</v>
      </c>
      <c r="C3301" s="62">
        <f>VLOOKUP(B3301,合并仓明细!$D$2:$F$74,3,0)</f>
        <v>131</v>
      </c>
      <c r="D3301" s="122" t="s">
        <v>413</v>
      </c>
      <c r="E3301" s="123">
        <v>46013</v>
      </c>
      <c r="F3301" s="121" t="s">
        <v>66</v>
      </c>
      <c r="G3301" s="121">
        <v>1496.01628794</v>
      </c>
      <c r="H3301" s="124"/>
      <c r="I3301" s="125"/>
      <c r="J3301" s="125"/>
      <c r="K3301" s="125"/>
      <c r="L3301" s="121"/>
      <c r="M3301" s="126"/>
      <c r="N3301" s="121"/>
    </row>
    <row r="3302" spans="1:14" x14ac:dyDescent="0.25">
      <c r="A3302" s="121" t="s">
        <v>83</v>
      </c>
      <c r="B3302" s="121" t="s">
        <v>143</v>
      </c>
      <c r="C3302" s="62">
        <f>VLOOKUP(B3302,合并仓明细!$D$2:$F$74,3,0)</f>
        <v>131</v>
      </c>
      <c r="D3302" s="122" t="s">
        <v>413</v>
      </c>
      <c r="E3302" s="123">
        <v>46014</v>
      </c>
      <c r="F3302" s="121" t="s">
        <v>66</v>
      </c>
      <c r="G3302" s="121">
        <v>98.399999999999991</v>
      </c>
      <c r="H3302" s="124">
        <v>9.8399999999999987E-2</v>
      </c>
      <c r="I3302" s="125"/>
      <c r="J3302" s="125"/>
      <c r="K3302" s="125"/>
      <c r="L3302" s="37">
        <f>IF(H3302&gt;30,QUOTIENT(H3302,30)*VLOOKUP(D3302,'报价表-配送'!$B$9:$I$13,8,0),0)+IF(AND(MOD(H3302,30)&gt;18,MOD(H3302,30)&lt;=30),1,0)*VLOOKUP(D3302,'报价表-配送'!$B$9:$I$13,8,0)+IF(AND(MOD(H3302,30)&gt;8,MOD(H3302,30)&lt;=18),1*VLOOKUP(D3302,'报价表-配送'!$B$9:$I$13,7,0),0)+IF(AND(MOD(H3302,30)&lt;=8,MOD(H3302,30)&gt;2.5),1,0)*VLOOKUP(D3302,'报价表-配送'!$B$9:$I$13,6,0)+IF(AND(MOD(H3302,30)&lt;=2.5,MOD(H3302,30)&gt;=1.5),1,0)*VLOOKUP(D3302,'报价表-配送'!$B$9:$I$13,5,0)</f>
        <v>0</v>
      </c>
      <c r="M3302" s="39">
        <f>IF(AND(MOD(H3302,30)&lt;1.5,MOD(H3302,30)&gt;=0.5),H3302,0)*VLOOKUP(D3302,'报价表-配送'!$B$9:$I$13,4,0)*1000+IF(AND(MOD(H3302,30)&lt;0.5,MOD(H3302,30)&gt;=0.02),H3302,0)*VLOOKUP(D3302,'报价表-配送'!$B$9:$I$13,3,0)*1000+IF(AND(MOD(H3302,30)&lt;0.02),H3302,0)*VLOOKUP(D3302,'报价表-配送'!$B$9:$I$13,2,0)*1000</f>
        <v>0</v>
      </c>
      <c r="N3302" s="127">
        <f t="shared" ref="N3302:N3303" si="187">SUM(I3302:L3302)</f>
        <v>0</v>
      </c>
    </row>
    <row r="3303" spans="1:14" x14ac:dyDescent="0.25">
      <c r="A3303" s="121" t="s">
        <v>83</v>
      </c>
      <c r="B3303" s="121" t="s">
        <v>143</v>
      </c>
      <c r="C3303" s="62">
        <f>VLOOKUP(B3303,合并仓明细!$D$2:$F$74,3,0)</f>
        <v>131</v>
      </c>
      <c r="D3303" s="122" t="s">
        <v>413</v>
      </c>
      <c r="E3303" s="123">
        <v>46015</v>
      </c>
      <c r="F3303" s="121" t="s">
        <v>67</v>
      </c>
      <c r="G3303" s="121">
        <v>28316.884238800001</v>
      </c>
      <c r="H3303" s="124">
        <v>29.406394238800001</v>
      </c>
      <c r="I3303" s="38">
        <f>IF(H3303&gt;30,QUOTIENT(H3303,30)*VLOOKUP(D3303,'报价表-配送'!$B$9:$I$13,8,0),0)+IF(AND(MOD(H3303,30)&gt;18,MOD(H3303,30)&lt;=30),1,0)*VLOOKUP(D3303,'报价表-配送'!$B$9:$I$13,8,0)</f>
        <v>0</v>
      </c>
      <c r="J3303" s="38">
        <f>IF(AND(MOD(H3303,30)&gt;8,MOD(H3303,30)&lt;=18),1*VLOOKUP(D3303,'报价表-配送'!$B$9:$I$13,7,0),0)</f>
        <v>0</v>
      </c>
      <c r="K3303" s="38">
        <f>IF(AND(MOD(H3303,30)&lt;=8,MOD(H3303,30)&gt;0),1,0)*VLOOKUP(D3303,'报价表-配送'!$B$9:$I$13,6,0)</f>
        <v>0</v>
      </c>
      <c r="L3303" s="121"/>
      <c r="M3303" s="126"/>
      <c r="N3303" s="127">
        <f t="shared" si="187"/>
        <v>0</v>
      </c>
    </row>
    <row r="3304" spans="1:14" x14ac:dyDescent="0.25">
      <c r="A3304" s="121" t="s">
        <v>83</v>
      </c>
      <c r="B3304" s="121" t="s">
        <v>143</v>
      </c>
      <c r="C3304" s="62">
        <f>VLOOKUP(B3304,合并仓明细!$D$2:$F$74,3,0)</f>
        <v>131</v>
      </c>
      <c r="D3304" s="122" t="s">
        <v>413</v>
      </c>
      <c r="E3304" s="123">
        <v>46015</v>
      </c>
      <c r="F3304" s="121" t="s">
        <v>66</v>
      </c>
      <c r="G3304" s="121">
        <v>1089.51</v>
      </c>
      <c r="H3304" s="124"/>
      <c r="I3304" s="125"/>
      <c r="J3304" s="125"/>
      <c r="K3304" s="125"/>
      <c r="L3304" s="121"/>
      <c r="M3304" s="126"/>
      <c r="N3304" s="121"/>
    </row>
    <row r="3305" spans="1:14" x14ac:dyDescent="0.25">
      <c r="A3305" s="121" t="s">
        <v>83</v>
      </c>
      <c r="B3305" s="121" t="s">
        <v>143</v>
      </c>
      <c r="C3305" s="62">
        <f>VLOOKUP(B3305,合并仓明细!$D$2:$F$74,3,0)</f>
        <v>131</v>
      </c>
      <c r="D3305" s="122" t="s">
        <v>413</v>
      </c>
      <c r="E3305" s="123">
        <v>46017</v>
      </c>
      <c r="F3305" s="121" t="s">
        <v>66</v>
      </c>
      <c r="G3305" s="121">
        <v>107.78999999999999</v>
      </c>
      <c r="H3305" s="124">
        <v>0.10779</v>
      </c>
      <c r="I3305" s="125"/>
      <c r="J3305" s="125"/>
      <c r="K3305" s="125"/>
      <c r="L3305" s="37">
        <f>IF(H3305&gt;30,QUOTIENT(H3305,30)*VLOOKUP(D3305,'报价表-配送'!$B$9:$I$13,8,0),0)+IF(AND(MOD(H3305,30)&gt;18,MOD(H3305,30)&lt;=30),1,0)*VLOOKUP(D3305,'报价表-配送'!$B$9:$I$13,8,0)+IF(AND(MOD(H3305,30)&gt;8,MOD(H3305,30)&lt;=18),1*VLOOKUP(D3305,'报价表-配送'!$B$9:$I$13,7,0),0)+IF(AND(MOD(H3305,30)&lt;=8,MOD(H3305,30)&gt;2.5),1,0)*VLOOKUP(D3305,'报价表-配送'!$B$9:$I$13,6,0)+IF(AND(MOD(H3305,30)&lt;=2.5,MOD(H3305,30)&gt;=1.5),1,0)*VLOOKUP(D3305,'报价表-配送'!$B$9:$I$13,5,0)</f>
        <v>0</v>
      </c>
      <c r="M3305" s="39">
        <f>IF(AND(MOD(H3305,30)&lt;1.5,MOD(H3305,30)&gt;=0.5),H3305,0)*VLOOKUP(D3305,'报价表-配送'!$B$9:$I$13,4,0)*1000+IF(AND(MOD(H3305,30)&lt;0.5,MOD(H3305,30)&gt;=0.02),H3305,0)*VLOOKUP(D3305,'报价表-配送'!$B$9:$I$13,3,0)*1000+IF(AND(MOD(H3305,30)&lt;0.02),H3305,0)*VLOOKUP(D3305,'报价表-配送'!$B$9:$I$13,2,0)*1000</f>
        <v>0</v>
      </c>
      <c r="N3305" s="127">
        <f t="shared" ref="N3305:N3306" si="188">SUM(I3305:L3305)</f>
        <v>0</v>
      </c>
    </row>
    <row r="3306" spans="1:14" x14ac:dyDescent="0.25">
      <c r="A3306" s="121" t="s">
        <v>83</v>
      </c>
      <c r="B3306" s="121" t="s">
        <v>143</v>
      </c>
      <c r="C3306" s="62">
        <f>VLOOKUP(B3306,合并仓明细!$D$2:$F$74,3,0)</f>
        <v>131</v>
      </c>
      <c r="D3306" s="122" t="s">
        <v>413</v>
      </c>
      <c r="E3306" s="123">
        <v>46019</v>
      </c>
      <c r="F3306" s="121" t="s">
        <v>67</v>
      </c>
      <c r="G3306" s="121">
        <v>18641.601399999996</v>
      </c>
      <c r="H3306" s="124">
        <v>18.948026399999996</v>
      </c>
      <c r="I3306" s="38">
        <f>IF(H3306&gt;30,QUOTIENT(H3306,30)*VLOOKUP(D3306,'报价表-配送'!$B$9:$I$13,8,0),0)+IF(AND(MOD(H3306,30)&gt;18,MOD(H3306,30)&lt;=30),1,0)*VLOOKUP(D3306,'报价表-配送'!$B$9:$I$13,8,0)</f>
        <v>0</v>
      </c>
      <c r="J3306" s="38">
        <f>IF(AND(MOD(H3306,30)&gt;8,MOD(H3306,30)&lt;=18),1*VLOOKUP(D3306,'报价表-配送'!$B$9:$I$13,7,0),0)</f>
        <v>0</v>
      </c>
      <c r="K3306" s="38">
        <f>IF(AND(MOD(H3306,30)&lt;=8,MOD(H3306,30)&gt;0),1,0)*VLOOKUP(D3306,'报价表-配送'!$B$9:$I$13,6,0)</f>
        <v>0</v>
      </c>
      <c r="L3306" s="121"/>
      <c r="M3306" s="126"/>
      <c r="N3306" s="127">
        <f t="shared" si="188"/>
        <v>0</v>
      </c>
    </row>
    <row r="3307" spans="1:14" x14ac:dyDescent="0.25">
      <c r="A3307" s="121" t="s">
        <v>83</v>
      </c>
      <c r="B3307" s="121" t="s">
        <v>143</v>
      </c>
      <c r="C3307" s="62">
        <f>VLOOKUP(B3307,合并仓明细!$D$2:$F$74,3,0)</f>
        <v>131</v>
      </c>
      <c r="D3307" s="122" t="s">
        <v>413</v>
      </c>
      <c r="E3307" s="123">
        <v>46019</v>
      </c>
      <c r="F3307" s="121" t="s">
        <v>66</v>
      </c>
      <c r="G3307" s="121">
        <v>306.42500000000001</v>
      </c>
      <c r="H3307" s="124"/>
      <c r="I3307" s="125"/>
      <c r="J3307" s="125"/>
      <c r="K3307" s="125"/>
      <c r="L3307" s="121"/>
      <c r="M3307" s="126"/>
      <c r="N3307" s="121"/>
    </row>
    <row r="3308" spans="1:14" x14ac:dyDescent="0.25">
      <c r="A3308" s="121" t="s">
        <v>83</v>
      </c>
      <c r="B3308" s="121" t="s">
        <v>143</v>
      </c>
      <c r="C3308" s="62">
        <f>VLOOKUP(B3308,合并仓明细!$D$2:$F$74,3,0)</f>
        <v>131</v>
      </c>
      <c r="D3308" s="122" t="s">
        <v>413</v>
      </c>
      <c r="E3308" s="123">
        <v>46020</v>
      </c>
      <c r="F3308" s="121" t="s">
        <v>67</v>
      </c>
      <c r="G3308" s="121">
        <v>284.05</v>
      </c>
      <c r="H3308" s="124">
        <v>0.36610999999999999</v>
      </c>
      <c r="I3308" s="38">
        <f>IF(H3308&gt;30,QUOTIENT(H3308,30)*VLOOKUP(D3308,'报价表-配送'!$B$9:$I$13,8,0),0)+IF(AND(MOD(H3308,30)&gt;18,MOD(H3308,30)&lt;=30),1,0)*VLOOKUP(D3308,'报价表-配送'!$B$9:$I$13,8,0)</f>
        <v>0</v>
      </c>
      <c r="J3308" s="38">
        <f>IF(AND(MOD(H3308,30)&gt;8,MOD(H3308,30)&lt;=18),1*VLOOKUP(D3308,'报价表-配送'!$B$9:$I$13,7,0),0)</f>
        <v>0</v>
      </c>
      <c r="K3308" s="38">
        <f>IF(AND(MOD(H3308,30)&lt;=8,MOD(H3308,30)&gt;0),1,0)*VLOOKUP(D3308,'报价表-配送'!$B$9:$I$13,6,0)</f>
        <v>0</v>
      </c>
      <c r="L3308" s="121"/>
      <c r="M3308" s="126"/>
      <c r="N3308" s="127">
        <f t="shared" ref="N3308" si="189">SUM(I3308:L3308)</f>
        <v>0</v>
      </c>
    </row>
    <row r="3309" spans="1:14" x14ac:dyDescent="0.25">
      <c r="A3309" s="121" t="s">
        <v>83</v>
      </c>
      <c r="B3309" s="121" t="s">
        <v>143</v>
      </c>
      <c r="C3309" s="62">
        <f>VLOOKUP(B3309,合并仓明细!$D$2:$F$74,3,0)</f>
        <v>131</v>
      </c>
      <c r="D3309" s="122" t="s">
        <v>413</v>
      </c>
      <c r="E3309" s="123">
        <v>46020</v>
      </c>
      <c r="F3309" s="121" t="s">
        <v>66</v>
      </c>
      <c r="G3309" s="121">
        <v>82.06</v>
      </c>
      <c r="H3309" s="124"/>
      <c r="I3309" s="125"/>
      <c r="J3309" s="125"/>
      <c r="K3309" s="125"/>
      <c r="L3309" s="121"/>
      <c r="M3309" s="126"/>
      <c r="N3309" s="121"/>
    </row>
    <row r="3310" spans="1:14" x14ac:dyDescent="0.25">
      <c r="A3310" s="121" t="s">
        <v>83</v>
      </c>
      <c r="B3310" s="121" t="s">
        <v>143</v>
      </c>
      <c r="C3310" s="62">
        <f>VLOOKUP(B3310,合并仓明细!$D$2:$F$74,3,0)</f>
        <v>131</v>
      </c>
      <c r="D3310" s="122" t="s">
        <v>413</v>
      </c>
      <c r="E3310" s="123">
        <v>46021</v>
      </c>
      <c r="F3310" s="121" t="s">
        <v>67</v>
      </c>
      <c r="G3310" s="121">
        <v>9907.8799999999992</v>
      </c>
      <c r="H3310" s="124">
        <v>9.9705999999999992</v>
      </c>
      <c r="I3310" s="38">
        <f>IF(H3310&gt;30,QUOTIENT(H3310,30)*VLOOKUP(D3310,'报价表-配送'!$B$9:$I$13,8,0),0)+IF(AND(MOD(H3310,30)&gt;18,MOD(H3310,30)&lt;=30),1,0)*VLOOKUP(D3310,'报价表-配送'!$B$9:$I$13,8,0)</f>
        <v>0</v>
      </c>
      <c r="J3310" s="38">
        <f>IF(AND(MOD(H3310,30)&gt;8,MOD(H3310,30)&lt;=18),1*VLOOKUP(D3310,'报价表-配送'!$B$9:$I$13,7,0),0)</f>
        <v>0</v>
      </c>
      <c r="K3310" s="38">
        <f>IF(AND(MOD(H3310,30)&lt;=8,MOD(H3310,30)&gt;0),1,0)*VLOOKUP(D3310,'报价表-配送'!$B$9:$I$13,6,0)</f>
        <v>0</v>
      </c>
      <c r="L3310" s="121"/>
      <c r="M3310" s="126"/>
      <c r="N3310" s="127">
        <f t="shared" ref="N3310" si="190">SUM(I3310:L3310)</f>
        <v>0</v>
      </c>
    </row>
    <row r="3311" spans="1:14" x14ac:dyDescent="0.25">
      <c r="A3311" s="121" t="s">
        <v>83</v>
      </c>
      <c r="B3311" s="121" t="s">
        <v>143</v>
      </c>
      <c r="C3311" s="62">
        <f>VLOOKUP(B3311,合并仓明细!$D$2:$F$74,3,0)</f>
        <v>131</v>
      </c>
      <c r="D3311" s="122" t="s">
        <v>413</v>
      </c>
      <c r="E3311" s="123">
        <v>46021</v>
      </c>
      <c r="F3311" s="121" t="s">
        <v>66</v>
      </c>
      <c r="G3311" s="121">
        <v>62.72</v>
      </c>
      <c r="H3311" s="124"/>
      <c r="I3311" s="125"/>
      <c r="J3311" s="125"/>
      <c r="K3311" s="125"/>
      <c r="L3311" s="121"/>
      <c r="M3311" s="126"/>
      <c r="N3311" s="121"/>
    </row>
    <row r="3312" spans="1:14" x14ac:dyDescent="0.25">
      <c r="A3312" s="121" t="s">
        <v>83</v>
      </c>
      <c r="B3312" s="121" t="s">
        <v>143</v>
      </c>
      <c r="C3312" s="62">
        <f>VLOOKUP(B3312,合并仓明细!$D$2:$F$74,3,0)</f>
        <v>131</v>
      </c>
      <c r="D3312" s="122" t="s">
        <v>413</v>
      </c>
      <c r="E3312" s="123">
        <v>46022</v>
      </c>
      <c r="F3312" s="121" t="s">
        <v>68</v>
      </c>
      <c r="G3312" s="121">
        <v>515.07479999999998</v>
      </c>
      <c r="H3312" s="124">
        <v>1.14303889084</v>
      </c>
      <c r="I3312" s="46">
        <f>ROUNDUP(H3312/30,0)*VLOOKUP(D3312,'报价表-配送'!$B$9:$I$13,8,0)</f>
        <v>0</v>
      </c>
      <c r="J3312" s="125"/>
      <c r="K3312" s="125"/>
      <c r="L3312" s="121"/>
      <c r="M3312" s="126"/>
      <c r="N3312" s="127">
        <f t="shared" ref="N3312" si="191">SUM(I3312:L3312)</f>
        <v>0</v>
      </c>
    </row>
    <row r="3313" spans="1:14" x14ac:dyDescent="0.25">
      <c r="A3313" s="121" t="s">
        <v>83</v>
      </c>
      <c r="B3313" s="121" t="s">
        <v>143</v>
      </c>
      <c r="C3313" s="62">
        <f>VLOOKUP(B3313,合并仓明细!$D$2:$F$74,3,0)</f>
        <v>131</v>
      </c>
      <c r="D3313" s="122" t="s">
        <v>413</v>
      </c>
      <c r="E3313" s="123">
        <v>46022</v>
      </c>
      <c r="F3313" s="121" t="s">
        <v>66</v>
      </c>
      <c r="G3313" s="121">
        <v>627.96409083999993</v>
      </c>
      <c r="H3313" s="124"/>
      <c r="I3313" s="125"/>
      <c r="J3313" s="125"/>
      <c r="K3313" s="125"/>
      <c r="L3313" s="121"/>
      <c r="M3313" s="126"/>
      <c r="N3313" s="121"/>
    </row>
    <row r="3314" spans="1:14" x14ac:dyDescent="0.25">
      <c r="A3314" s="121" t="s">
        <v>83</v>
      </c>
      <c r="B3314" s="121" t="s">
        <v>143</v>
      </c>
      <c r="C3314" s="62">
        <f>VLOOKUP(B3314,合并仓明细!$D$2:$F$74,3,0)</f>
        <v>131</v>
      </c>
      <c r="D3314" s="122" t="s">
        <v>413</v>
      </c>
      <c r="E3314" s="123">
        <v>46023</v>
      </c>
      <c r="F3314" s="121" t="s">
        <v>68</v>
      </c>
      <c r="G3314" s="121">
        <v>154.30056000000002</v>
      </c>
      <c r="H3314" s="124">
        <v>0.48530980667000001</v>
      </c>
      <c r="I3314" s="46">
        <f>ROUNDUP(H3314/30,0)*VLOOKUP(D3314,'报价表-配送'!$B$9:$I$13,8,0)</f>
        <v>0</v>
      </c>
      <c r="J3314" s="125"/>
      <c r="K3314" s="125"/>
      <c r="L3314" s="121"/>
      <c r="M3314" s="126"/>
      <c r="N3314" s="127">
        <f t="shared" ref="N3314" si="192">SUM(I3314:L3314)</f>
        <v>0</v>
      </c>
    </row>
    <row r="3315" spans="1:14" x14ac:dyDescent="0.25">
      <c r="A3315" s="121" t="s">
        <v>83</v>
      </c>
      <c r="B3315" s="121" t="s">
        <v>143</v>
      </c>
      <c r="C3315" s="62">
        <f>VLOOKUP(B3315,合并仓明细!$D$2:$F$74,3,0)</f>
        <v>131</v>
      </c>
      <c r="D3315" s="122" t="s">
        <v>413</v>
      </c>
      <c r="E3315" s="123">
        <v>46023</v>
      </c>
      <c r="F3315" s="121" t="s">
        <v>67</v>
      </c>
      <c r="G3315" s="121">
        <v>162.40008</v>
      </c>
      <c r="H3315" s="124"/>
      <c r="I3315" s="125"/>
      <c r="J3315" s="125"/>
      <c r="K3315" s="125"/>
      <c r="L3315" s="121"/>
      <c r="M3315" s="126"/>
      <c r="N3315" s="121"/>
    </row>
    <row r="3316" spans="1:14" x14ac:dyDescent="0.25">
      <c r="A3316" s="121" t="s">
        <v>83</v>
      </c>
      <c r="B3316" s="121" t="s">
        <v>143</v>
      </c>
      <c r="C3316" s="62">
        <f>VLOOKUP(B3316,合并仓明细!$D$2:$F$74,3,0)</f>
        <v>131</v>
      </c>
      <c r="D3316" s="122" t="s">
        <v>413</v>
      </c>
      <c r="E3316" s="123">
        <v>46023</v>
      </c>
      <c r="F3316" s="121" t="s">
        <v>66</v>
      </c>
      <c r="G3316" s="121">
        <v>168.60916666999998</v>
      </c>
      <c r="H3316" s="124"/>
      <c r="I3316" s="125"/>
      <c r="J3316" s="125"/>
      <c r="K3316" s="125"/>
      <c r="L3316" s="121"/>
      <c r="M3316" s="126"/>
      <c r="N3316" s="121"/>
    </row>
    <row r="3317" spans="1:14" x14ac:dyDescent="0.25">
      <c r="A3317" s="121" t="s">
        <v>83</v>
      </c>
      <c r="B3317" s="121" t="s">
        <v>143</v>
      </c>
      <c r="C3317" s="62">
        <f>VLOOKUP(B3317,合并仓明细!$D$2:$F$74,3,0)</f>
        <v>131</v>
      </c>
      <c r="D3317" s="122" t="s">
        <v>413</v>
      </c>
      <c r="E3317" s="123">
        <v>46027</v>
      </c>
      <c r="F3317" s="121" t="s">
        <v>68</v>
      </c>
      <c r="G3317" s="121">
        <v>1017.0136799999998</v>
      </c>
      <c r="H3317" s="124">
        <v>1.6385405680699998</v>
      </c>
      <c r="I3317" s="46">
        <f>ROUNDUP(H3317/30,0)*VLOOKUP(D3317,'报价表-配送'!$B$9:$I$13,8,0)</f>
        <v>0</v>
      </c>
      <c r="J3317" s="125"/>
      <c r="K3317" s="125"/>
      <c r="L3317" s="121"/>
      <c r="M3317" s="126"/>
      <c r="N3317" s="127">
        <f t="shared" ref="N3317" si="193">SUM(I3317:L3317)</f>
        <v>0</v>
      </c>
    </row>
    <row r="3318" spans="1:14" x14ac:dyDescent="0.25">
      <c r="A3318" s="121" t="s">
        <v>83</v>
      </c>
      <c r="B3318" s="121" t="s">
        <v>143</v>
      </c>
      <c r="C3318" s="62">
        <f>VLOOKUP(B3318,合并仓明细!$D$2:$F$74,3,0)</f>
        <v>131</v>
      </c>
      <c r="D3318" s="122" t="s">
        <v>413</v>
      </c>
      <c r="E3318" s="123">
        <v>46027</v>
      </c>
      <c r="F3318" s="121" t="s">
        <v>67</v>
      </c>
      <c r="G3318" s="121">
        <v>448.80015000000003</v>
      </c>
      <c r="H3318" s="124"/>
      <c r="I3318" s="125"/>
      <c r="J3318" s="125"/>
      <c r="K3318" s="125"/>
      <c r="L3318" s="121"/>
      <c r="M3318" s="126"/>
      <c r="N3318" s="121"/>
    </row>
    <row r="3319" spans="1:14" x14ac:dyDescent="0.25">
      <c r="A3319" s="121" t="s">
        <v>83</v>
      </c>
      <c r="B3319" s="121" t="s">
        <v>143</v>
      </c>
      <c r="C3319" s="62">
        <f>VLOOKUP(B3319,合并仓明细!$D$2:$F$74,3,0)</f>
        <v>131</v>
      </c>
      <c r="D3319" s="122" t="s">
        <v>413</v>
      </c>
      <c r="E3319" s="123">
        <v>46027</v>
      </c>
      <c r="F3319" s="121" t="s">
        <v>66</v>
      </c>
      <c r="G3319" s="121">
        <v>172.72673806999998</v>
      </c>
      <c r="H3319" s="124"/>
      <c r="I3319" s="125"/>
      <c r="J3319" s="125"/>
      <c r="K3319" s="125"/>
      <c r="L3319" s="121"/>
      <c r="M3319" s="126"/>
      <c r="N3319" s="121"/>
    </row>
    <row r="3320" spans="1:14" x14ac:dyDescent="0.25">
      <c r="A3320" s="121" t="s">
        <v>83</v>
      </c>
      <c r="B3320" s="121" t="s">
        <v>143</v>
      </c>
      <c r="C3320" s="62">
        <f>VLOOKUP(B3320,合并仓明细!$D$2:$F$74,3,0)</f>
        <v>131</v>
      </c>
      <c r="D3320" s="122" t="s">
        <v>413</v>
      </c>
      <c r="E3320" s="123">
        <v>46028</v>
      </c>
      <c r="F3320" s="121" t="s">
        <v>67</v>
      </c>
      <c r="G3320" s="121">
        <v>360.815652</v>
      </c>
      <c r="H3320" s="124">
        <v>1.29253923534</v>
      </c>
      <c r="I3320" s="38">
        <f>IF(H3320&gt;30,QUOTIENT(H3320,30)*VLOOKUP(D3320,'报价表-配送'!$B$9:$I$13,8,0),0)+IF(AND(MOD(H3320,30)&gt;18,MOD(H3320,30)&lt;=30),1,0)*VLOOKUP(D3320,'报价表-配送'!$B$9:$I$13,8,0)</f>
        <v>0</v>
      </c>
      <c r="J3320" s="38">
        <f>IF(AND(MOD(H3320,30)&gt;8,MOD(H3320,30)&lt;=18),1*VLOOKUP(D3320,'报价表-配送'!$B$9:$I$13,7,0),0)</f>
        <v>0</v>
      </c>
      <c r="K3320" s="38">
        <f>IF(AND(MOD(H3320,30)&lt;=8,MOD(H3320,30)&gt;0),1,0)*VLOOKUP(D3320,'报价表-配送'!$B$9:$I$13,6,0)</f>
        <v>0</v>
      </c>
      <c r="L3320" s="121"/>
      <c r="M3320" s="126"/>
      <c r="N3320" s="127">
        <f t="shared" ref="N3320" si="194">SUM(I3320:L3320)</f>
        <v>0</v>
      </c>
    </row>
    <row r="3321" spans="1:14" x14ac:dyDescent="0.25">
      <c r="A3321" s="121" t="s">
        <v>83</v>
      </c>
      <c r="B3321" s="121" t="s">
        <v>143</v>
      </c>
      <c r="C3321" s="62">
        <f>VLOOKUP(B3321,合并仓明细!$D$2:$F$74,3,0)</f>
        <v>131</v>
      </c>
      <c r="D3321" s="122" t="s">
        <v>413</v>
      </c>
      <c r="E3321" s="123">
        <v>46028</v>
      </c>
      <c r="F3321" s="121" t="s">
        <v>66</v>
      </c>
      <c r="G3321" s="121">
        <v>931.72358334</v>
      </c>
      <c r="H3321" s="124"/>
      <c r="I3321" s="125"/>
      <c r="J3321" s="125"/>
      <c r="K3321" s="125"/>
      <c r="L3321" s="121"/>
      <c r="M3321" s="126"/>
      <c r="N3321" s="121"/>
    </row>
    <row r="3322" spans="1:14" x14ac:dyDescent="0.25">
      <c r="A3322" s="121" t="s">
        <v>83</v>
      </c>
      <c r="B3322" s="121" t="s">
        <v>143</v>
      </c>
      <c r="C3322" s="62">
        <f>VLOOKUP(B3322,合并仓明细!$D$2:$F$74,3,0)</f>
        <v>131</v>
      </c>
      <c r="D3322" s="122" t="s">
        <v>413</v>
      </c>
      <c r="E3322" s="123">
        <v>46029</v>
      </c>
      <c r="F3322" s="121" t="s">
        <v>66</v>
      </c>
      <c r="G3322" s="121">
        <v>76.344166669999993</v>
      </c>
      <c r="H3322" s="124">
        <v>7.6344166669999991E-2</v>
      </c>
      <c r="I3322" s="125"/>
      <c r="J3322" s="125"/>
      <c r="K3322" s="125"/>
      <c r="L3322" s="37">
        <f>IF(H3322&gt;30,QUOTIENT(H3322,30)*VLOOKUP(D3322,'报价表-配送'!$B$9:$I$13,8,0),0)+IF(AND(MOD(H3322,30)&gt;18,MOD(H3322,30)&lt;=30),1,0)*VLOOKUP(D3322,'报价表-配送'!$B$9:$I$13,8,0)+IF(AND(MOD(H3322,30)&gt;8,MOD(H3322,30)&lt;=18),1*VLOOKUP(D3322,'报价表-配送'!$B$9:$I$13,7,0),0)+IF(AND(MOD(H3322,30)&lt;=8,MOD(H3322,30)&gt;2.5),1,0)*VLOOKUP(D3322,'报价表-配送'!$B$9:$I$13,6,0)+IF(AND(MOD(H3322,30)&lt;=2.5,MOD(H3322,30)&gt;=1.5),1,0)*VLOOKUP(D3322,'报价表-配送'!$B$9:$I$13,5,0)</f>
        <v>0</v>
      </c>
      <c r="M3322" s="39">
        <f>IF(AND(MOD(H3322,30)&lt;1.5,MOD(H3322,30)&gt;=0.5),H3322,0)*VLOOKUP(D3322,'报价表-配送'!$B$9:$I$13,4,0)*1000+IF(AND(MOD(H3322,30)&lt;0.5,MOD(H3322,30)&gt;=0.02),H3322,0)*VLOOKUP(D3322,'报价表-配送'!$B$9:$I$13,3,0)*1000+IF(AND(MOD(H3322,30)&lt;0.02),H3322,0)*VLOOKUP(D3322,'报价表-配送'!$B$9:$I$13,2,0)*1000</f>
        <v>0</v>
      </c>
      <c r="N3322" s="127">
        <f t="shared" ref="N3322:N3323" si="195">SUM(I3322:L3322)</f>
        <v>0</v>
      </c>
    </row>
    <row r="3323" spans="1:14" x14ac:dyDescent="0.25">
      <c r="A3323" s="121" t="s">
        <v>83</v>
      </c>
      <c r="B3323" s="121" t="s">
        <v>143</v>
      </c>
      <c r="C3323" s="62">
        <f>VLOOKUP(B3323,合并仓明细!$D$2:$F$74,3,0)</f>
        <v>131</v>
      </c>
      <c r="D3323" s="122" t="s">
        <v>413</v>
      </c>
      <c r="E3323" s="123">
        <v>46030</v>
      </c>
      <c r="F3323" s="121" t="s">
        <v>68</v>
      </c>
      <c r="G3323" s="121">
        <v>7267.4750400000003</v>
      </c>
      <c r="H3323" s="124">
        <v>45.623424200499997</v>
      </c>
      <c r="I3323" s="46">
        <f>ROUNDUP(H3323/30,0)*VLOOKUP(D3323,'报价表-配送'!$B$9:$I$13,8,0)</f>
        <v>0</v>
      </c>
      <c r="J3323" s="125"/>
      <c r="K3323" s="125"/>
      <c r="L3323" s="121"/>
      <c r="M3323" s="126"/>
      <c r="N3323" s="127">
        <f t="shared" si="195"/>
        <v>0</v>
      </c>
    </row>
    <row r="3324" spans="1:14" x14ac:dyDescent="0.25">
      <c r="A3324" s="121" t="s">
        <v>83</v>
      </c>
      <c r="B3324" s="121" t="s">
        <v>143</v>
      </c>
      <c r="C3324" s="62">
        <f>VLOOKUP(B3324,合并仓明细!$D$2:$F$74,3,0)</f>
        <v>131</v>
      </c>
      <c r="D3324" s="122" t="s">
        <v>413</v>
      </c>
      <c r="E3324" s="123">
        <v>46030</v>
      </c>
      <c r="F3324" s="121" t="s">
        <v>67</v>
      </c>
      <c r="G3324" s="121">
        <v>23655.629964</v>
      </c>
      <c r="H3324" s="124"/>
      <c r="I3324" s="125"/>
      <c r="J3324" s="125"/>
      <c r="K3324" s="125"/>
      <c r="L3324" s="121"/>
      <c r="M3324" s="126"/>
      <c r="N3324" s="121"/>
    </row>
    <row r="3325" spans="1:14" x14ac:dyDescent="0.25">
      <c r="A3325" s="121" t="s">
        <v>83</v>
      </c>
      <c r="B3325" s="121" t="s">
        <v>143</v>
      </c>
      <c r="C3325" s="62">
        <f>VLOOKUP(B3325,合并仓明细!$D$2:$F$74,3,0)</f>
        <v>131</v>
      </c>
      <c r="D3325" s="122" t="s">
        <v>413</v>
      </c>
      <c r="E3325" s="123">
        <v>46030</v>
      </c>
      <c r="F3325" s="121" t="s">
        <v>66</v>
      </c>
      <c r="G3325" s="121">
        <v>14700.319196499997</v>
      </c>
      <c r="H3325" s="124"/>
      <c r="I3325" s="125"/>
      <c r="J3325" s="125"/>
      <c r="K3325" s="125"/>
      <c r="L3325" s="121"/>
      <c r="M3325" s="126"/>
      <c r="N3325" s="121"/>
    </row>
    <row r="3326" spans="1:14" x14ac:dyDescent="0.25">
      <c r="A3326" s="121" t="s">
        <v>83</v>
      </c>
      <c r="B3326" s="121" t="s">
        <v>143</v>
      </c>
      <c r="C3326" s="62">
        <f>VLOOKUP(B3326,合并仓明细!$D$2:$F$74,3,0)</f>
        <v>131</v>
      </c>
      <c r="D3326" s="122" t="s">
        <v>413</v>
      </c>
      <c r="E3326" s="123">
        <v>46031</v>
      </c>
      <c r="F3326" s="121" t="s">
        <v>68</v>
      </c>
      <c r="G3326" s="121">
        <v>5723.8062</v>
      </c>
      <c r="H3326" s="124">
        <v>14.494305009319996</v>
      </c>
      <c r="I3326" s="46">
        <f>ROUNDUP(H3326/30,0)*VLOOKUP(D3326,'报价表-配送'!$B$9:$I$13,8,0)</f>
        <v>0</v>
      </c>
      <c r="J3326" s="125"/>
      <c r="K3326" s="125"/>
      <c r="L3326" s="121"/>
      <c r="M3326" s="126"/>
      <c r="N3326" s="127">
        <f t="shared" ref="N3326" si="196">SUM(I3326:L3326)</f>
        <v>0</v>
      </c>
    </row>
    <row r="3327" spans="1:14" x14ac:dyDescent="0.25">
      <c r="A3327" s="121" t="s">
        <v>83</v>
      </c>
      <c r="B3327" s="121" t="s">
        <v>143</v>
      </c>
      <c r="C3327" s="62">
        <f>VLOOKUP(B3327,合并仓明细!$D$2:$F$74,3,0)</f>
        <v>131</v>
      </c>
      <c r="D3327" s="122" t="s">
        <v>413</v>
      </c>
      <c r="E3327" s="123">
        <v>46031</v>
      </c>
      <c r="F3327" s="121" t="s">
        <v>67</v>
      </c>
      <c r="G3327" s="121">
        <v>775.7025000000001</v>
      </c>
      <c r="H3327" s="124"/>
      <c r="I3327" s="125"/>
      <c r="J3327" s="125"/>
      <c r="K3327" s="125"/>
      <c r="L3327" s="121"/>
      <c r="M3327" s="126"/>
      <c r="N3327" s="121"/>
    </row>
    <row r="3328" spans="1:14" x14ac:dyDescent="0.25">
      <c r="A3328" s="121" t="s">
        <v>83</v>
      </c>
      <c r="B3328" s="121" t="s">
        <v>143</v>
      </c>
      <c r="C3328" s="62">
        <f>VLOOKUP(B3328,合并仓明细!$D$2:$F$74,3,0)</f>
        <v>131</v>
      </c>
      <c r="D3328" s="122" t="s">
        <v>413</v>
      </c>
      <c r="E3328" s="123">
        <v>46031</v>
      </c>
      <c r="F3328" s="121" t="s">
        <v>66</v>
      </c>
      <c r="G3328" s="121">
        <v>7994.7963093199969</v>
      </c>
      <c r="H3328" s="124"/>
      <c r="I3328" s="125"/>
      <c r="J3328" s="125"/>
      <c r="K3328" s="125"/>
      <c r="L3328" s="121"/>
      <c r="M3328" s="126"/>
      <c r="N3328" s="121"/>
    </row>
    <row r="3329" spans="1:14" x14ac:dyDescent="0.25">
      <c r="A3329" s="121" t="s">
        <v>83</v>
      </c>
      <c r="B3329" s="121" t="s">
        <v>143</v>
      </c>
      <c r="C3329" s="62">
        <f>VLOOKUP(B3329,合并仓明细!$D$2:$F$74,3,0)</f>
        <v>131</v>
      </c>
      <c r="D3329" s="122" t="s">
        <v>413</v>
      </c>
      <c r="E3329" s="123">
        <v>46034</v>
      </c>
      <c r="F3329" s="121" t="s">
        <v>67</v>
      </c>
      <c r="G3329" s="121">
        <v>280.11197999999996</v>
      </c>
      <c r="H3329" s="124">
        <v>1.4694476765</v>
      </c>
      <c r="I3329" s="38">
        <f>IF(H3329&gt;30,QUOTIENT(H3329,30)*VLOOKUP(D3329,'报价表-配送'!$B$9:$I$13,8,0),0)+IF(AND(MOD(H3329,30)&gt;18,MOD(H3329,30)&lt;=30),1,0)*VLOOKUP(D3329,'报价表-配送'!$B$9:$I$13,8,0)</f>
        <v>0</v>
      </c>
      <c r="J3329" s="38">
        <f>IF(AND(MOD(H3329,30)&gt;8,MOD(H3329,30)&lt;=18),1*VLOOKUP(D3329,'报价表-配送'!$B$9:$I$13,7,0),0)</f>
        <v>0</v>
      </c>
      <c r="K3329" s="38">
        <f>IF(AND(MOD(H3329,30)&lt;=8,MOD(H3329,30)&gt;0),1,0)*VLOOKUP(D3329,'报价表-配送'!$B$9:$I$13,6,0)</f>
        <v>0</v>
      </c>
      <c r="L3329" s="121"/>
      <c r="M3329" s="126"/>
      <c r="N3329" s="127">
        <f t="shared" ref="N3329" si="197">SUM(I3329:L3329)</f>
        <v>0</v>
      </c>
    </row>
    <row r="3330" spans="1:14" x14ac:dyDescent="0.25">
      <c r="A3330" s="121" t="s">
        <v>83</v>
      </c>
      <c r="B3330" s="121" t="s">
        <v>143</v>
      </c>
      <c r="C3330" s="62">
        <f>VLOOKUP(B3330,合并仓明细!$D$2:$F$74,3,0)</f>
        <v>131</v>
      </c>
      <c r="D3330" s="122" t="s">
        <v>413</v>
      </c>
      <c r="E3330" s="123">
        <v>46034</v>
      </c>
      <c r="F3330" s="121" t="s">
        <v>66</v>
      </c>
      <c r="G3330" s="121">
        <v>1189.3356965</v>
      </c>
      <c r="H3330" s="124"/>
      <c r="I3330" s="125"/>
      <c r="J3330" s="125"/>
      <c r="K3330" s="125"/>
      <c r="L3330" s="121"/>
      <c r="M3330" s="126"/>
      <c r="N3330" s="121"/>
    </row>
    <row r="3331" spans="1:14" x14ac:dyDescent="0.25">
      <c r="A3331" s="121" t="s">
        <v>83</v>
      </c>
      <c r="B3331" s="121" t="s">
        <v>143</v>
      </c>
      <c r="C3331" s="62">
        <f>VLOOKUP(B3331,合并仓明细!$D$2:$F$74,3,0)</f>
        <v>131</v>
      </c>
      <c r="D3331" s="122" t="s">
        <v>413</v>
      </c>
      <c r="E3331" s="123">
        <v>46035</v>
      </c>
      <c r="F3331" s="121" t="s">
        <v>66</v>
      </c>
      <c r="G3331" s="121">
        <v>470.26074998999991</v>
      </c>
      <c r="H3331" s="124">
        <v>0.47026074998999989</v>
      </c>
      <c r="I3331" s="125"/>
      <c r="J3331" s="125"/>
      <c r="K3331" s="125"/>
      <c r="L3331" s="37">
        <f>IF(H3331&gt;30,QUOTIENT(H3331,30)*VLOOKUP(D3331,'报价表-配送'!$B$9:$I$13,8,0),0)+IF(AND(MOD(H3331,30)&gt;18,MOD(H3331,30)&lt;=30),1,0)*VLOOKUP(D3331,'报价表-配送'!$B$9:$I$13,8,0)+IF(AND(MOD(H3331,30)&gt;8,MOD(H3331,30)&lt;=18),1*VLOOKUP(D3331,'报价表-配送'!$B$9:$I$13,7,0),0)+IF(AND(MOD(H3331,30)&lt;=8,MOD(H3331,30)&gt;2.5),1,0)*VLOOKUP(D3331,'报价表-配送'!$B$9:$I$13,6,0)+IF(AND(MOD(H3331,30)&lt;=2.5,MOD(H3331,30)&gt;=1.5),1,0)*VLOOKUP(D3331,'报价表-配送'!$B$9:$I$13,5,0)</f>
        <v>0</v>
      </c>
      <c r="M3331" s="39">
        <f>IF(AND(MOD(H3331,30)&lt;1.5,MOD(H3331,30)&gt;=0.5),H3331,0)*VLOOKUP(D3331,'报价表-配送'!$B$9:$I$13,4,0)*1000+IF(AND(MOD(H3331,30)&lt;0.5,MOD(H3331,30)&gt;=0.02),H3331,0)*VLOOKUP(D3331,'报价表-配送'!$B$9:$I$13,3,0)*1000+IF(AND(MOD(H3331,30)&lt;0.02),H3331,0)*VLOOKUP(D3331,'报价表-配送'!$B$9:$I$13,2,0)*1000</f>
        <v>0</v>
      </c>
      <c r="N3331" s="127">
        <f t="shared" ref="N3331:N3332" si="198">SUM(I3331:L3331)</f>
        <v>0</v>
      </c>
    </row>
    <row r="3332" spans="1:14" x14ac:dyDescent="0.25">
      <c r="A3332" s="121" t="s">
        <v>83</v>
      </c>
      <c r="B3332" s="121" t="s">
        <v>143</v>
      </c>
      <c r="C3332" s="62">
        <f>VLOOKUP(B3332,合并仓明细!$D$2:$F$74,3,0)</f>
        <v>131</v>
      </c>
      <c r="D3332" s="122" t="s">
        <v>413</v>
      </c>
      <c r="E3332" s="123">
        <v>46036</v>
      </c>
      <c r="F3332" s="121" t="s">
        <v>68</v>
      </c>
      <c r="G3332" s="121">
        <v>187.49831999999998</v>
      </c>
      <c r="H3332" s="124">
        <v>0.67587533003999989</v>
      </c>
      <c r="I3332" s="46">
        <f>ROUNDUP(H3332/30,0)*VLOOKUP(D3332,'报价表-配送'!$B$9:$I$13,8,0)</f>
        <v>0</v>
      </c>
      <c r="J3332" s="125"/>
      <c r="K3332" s="125"/>
      <c r="L3332" s="121"/>
      <c r="M3332" s="126"/>
      <c r="N3332" s="127">
        <f t="shared" si="198"/>
        <v>0</v>
      </c>
    </row>
    <row r="3333" spans="1:14" x14ac:dyDescent="0.25">
      <c r="A3333" s="121" t="s">
        <v>83</v>
      </c>
      <c r="B3333" s="121" t="s">
        <v>143</v>
      </c>
      <c r="C3333" s="62">
        <f>VLOOKUP(B3333,合并仓明细!$D$2:$F$74,3,0)</f>
        <v>131</v>
      </c>
      <c r="D3333" s="122" t="s">
        <v>413</v>
      </c>
      <c r="E3333" s="123">
        <v>46036</v>
      </c>
      <c r="F3333" s="121" t="s">
        <v>67</v>
      </c>
      <c r="G3333" s="121">
        <v>48.058271999999995</v>
      </c>
      <c r="H3333" s="124"/>
      <c r="I3333" s="125"/>
      <c r="J3333" s="125"/>
      <c r="K3333" s="125"/>
      <c r="L3333" s="121"/>
      <c r="M3333" s="126"/>
      <c r="N3333" s="121"/>
    </row>
    <row r="3334" spans="1:14" x14ac:dyDescent="0.25">
      <c r="A3334" s="121" t="s">
        <v>83</v>
      </c>
      <c r="B3334" s="121" t="s">
        <v>143</v>
      </c>
      <c r="C3334" s="62">
        <f>VLOOKUP(B3334,合并仓明细!$D$2:$F$74,3,0)</f>
        <v>131</v>
      </c>
      <c r="D3334" s="122" t="s">
        <v>413</v>
      </c>
      <c r="E3334" s="123">
        <v>46036</v>
      </c>
      <c r="F3334" s="121" t="s">
        <v>66</v>
      </c>
      <c r="G3334" s="121">
        <v>440.31873803999991</v>
      </c>
      <c r="H3334" s="124"/>
      <c r="I3334" s="125"/>
      <c r="J3334" s="125"/>
      <c r="K3334" s="125"/>
      <c r="L3334" s="121"/>
      <c r="M3334" s="126"/>
      <c r="N3334" s="121"/>
    </row>
    <row r="3335" spans="1:14" x14ac:dyDescent="0.25">
      <c r="A3335" s="121" t="s">
        <v>83</v>
      </c>
      <c r="B3335" s="121" t="s">
        <v>143</v>
      </c>
      <c r="C3335" s="62">
        <f>VLOOKUP(B3335,合并仓明细!$D$2:$F$74,3,0)</f>
        <v>131</v>
      </c>
      <c r="D3335" s="122" t="s">
        <v>413</v>
      </c>
      <c r="E3335" s="123">
        <v>46037</v>
      </c>
      <c r="F3335" s="121" t="s">
        <v>66</v>
      </c>
      <c r="G3335" s="121">
        <v>32.805</v>
      </c>
      <c r="H3335" s="124">
        <v>3.2805000000000001E-2</v>
      </c>
      <c r="I3335" s="125"/>
      <c r="J3335" s="125"/>
      <c r="K3335" s="125"/>
      <c r="L3335" s="37">
        <f>IF(H3335&gt;30,QUOTIENT(H3335,30)*VLOOKUP(D3335,'报价表-配送'!$B$9:$I$13,8,0),0)+IF(AND(MOD(H3335,30)&gt;18,MOD(H3335,30)&lt;=30),1,0)*VLOOKUP(D3335,'报价表-配送'!$B$9:$I$13,8,0)+IF(AND(MOD(H3335,30)&gt;8,MOD(H3335,30)&lt;=18),1*VLOOKUP(D3335,'报价表-配送'!$B$9:$I$13,7,0),0)+IF(AND(MOD(H3335,30)&lt;=8,MOD(H3335,30)&gt;2.5),1,0)*VLOOKUP(D3335,'报价表-配送'!$B$9:$I$13,6,0)+IF(AND(MOD(H3335,30)&lt;=2.5,MOD(H3335,30)&gt;=1.5),1,0)*VLOOKUP(D3335,'报价表-配送'!$B$9:$I$13,5,0)</f>
        <v>0</v>
      </c>
      <c r="M3335" s="39">
        <f>IF(AND(MOD(H3335,30)&lt;1.5,MOD(H3335,30)&gt;=0.5),H3335,0)*VLOOKUP(D3335,'报价表-配送'!$B$9:$I$13,4,0)*1000+IF(AND(MOD(H3335,30)&lt;0.5,MOD(H3335,30)&gt;=0.02),H3335,0)*VLOOKUP(D3335,'报价表-配送'!$B$9:$I$13,3,0)*1000+IF(AND(MOD(H3335,30)&lt;0.02),H3335,0)*VLOOKUP(D3335,'报价表-配送'!$B$9:$I$13,2,0)*1000</f>
        <v>0</v>
      </c>
      <c r="N3335" s="127">
        <f t="shared" ref="N3335:N3338" si="199">SUM(I3335:L3335)</f>
        <v>0</v>
      </c>
    </row>
    <row r="3336" spans="1:14" x14ac:dyDescent="0.25">
      <c r="A3336" s="121" t="s">
        <v>83</v>
      </c>
      <c r="B3336" s="121" t="s">
        <v>143</v>
      </c>
      <c r="C3336" s="62">
        <f>VLOOKUP(B3336,合并仓明细!$D$2:$F$74,3,0)</f>
        <v>131</v>
      </c>
      <c r="D3336" s="122" t="s">
        <v>413</v>
      </c>
      <c r="E3336" s="123">
        <v>46038</v>
      </c>
      <c r="F3336" s="121" t="s">
        <v>66</v>
      </c>
      <c r="G3336" s="121">
        <v>353.56846152000003</v>
      </c>
      <c r="H3336" s="124">
        <v>0.35356846152000004</v>
      </c>
      <c r="I3336" s="125"/>
      <c r="J3336" s="125"/>
      <c r="K3336" s="125"/>
      <c r="L3336" s="37">
        <f>IF(H3336&gt;30,QUOTIENT(H3336,30)*VLOOKUP(D3336,'报价表-配送'!$B$9:$I$13,8,0),0)+IF(AND(MOD(H3336,30)&gt;18,MOD(H3336,30)&lt;=30),1,0)*VLOOKUP(D3336,'报价表-配送'!$B$9:$I$13,8,0)+IF(AND(MOD(H3336,30)&gt;8,MOD(H3336,30)&lt;=18),1*VLOOKUP(D3336,'报价表-配送'!$B$9:$I$13,7,0),0)+IF(AND(MOD(H3336,30)&lt;=8,MOD(H3336,30)&gt;2.5),1,0)*VLOOKUP(D3336,'报价表-配送'!$B$9:$I$13,6,0)+IF(AND(MOD(H3336,30)&lt;=2.5,MOD(H3336,30)&gt;=1.5),1,0)*VLOOKUP(D3336,'报价表-配送'!$B$9:$I$13,5,0)</f>
        <v>0</v>
      </c>
      <c r="M3336" s="39">
        <f>IF(AND(MOD(H3336,30)&lt;1.5,MOD(H3336,30)&gt;=0.5),H3336,0)*VLOOKUP(D3336,'报价表-配送'!$B$9:$I$13,4,0)*1000+IF(AND(MOD(H3336,30)&lt;0.5,MOD(H3336,30)&gt;=0.02),H3336,0)*VLOOKUP(D3336,'报价表-配送'!$B$9:$I$13,3,0)*1000+IF(AND(MOD(H3336,30)&lt;0.02),H3336,0)*VLOOKUP(D3336,'报价表-配送'!$B$9:$I$13,2,0)*1000</f>
        <v>0</v>
      </c>
      <c r="N3336" s="127">
        <f t="shared" si="199"/>
        <v>0</v>
      </c>
    </row>
    <row r="3337" spans="1:14" x14ac:dyDescent="0.25">
      <c r="A3337" s="121" t="s">
        <v>83</v>
      </c>
      <c r="B3337" s="121" t="s">
        <v>143</v>
      </c>
      <c r="C3337" s="62">
        <f>VLOOKUP(B3337,合并仓明细!$D$2:$F$74,3,0)</f>
        <v>131</v>
      </c>
      <c r="D3337" s="122" t="s">
        <v>413</v>
      </c>
      <c r="E3337" s="123">
        <v>46041</v>
      </c>
      <c r="F3337" s="121" t="s">
        <v>66</v>
      </c>
      <c r="G3337" s="121">
        <v>36.43</v>
      </c>
      <c r="H3337" s="124">
        <v>3.6429999999999997E-2</v>
      </c>
      <c r="I3337" s="125"/>
      <c r="J3337" s="125"/>
      <c r="K3337" s="125"/>
      <c r="L3337" s="37">
        <f>IF(H3337&gt;30,QUOTIENT(H3337,30)*VLOOKUP(D3337,'报价表-配送'!$B$9:$I$13,8,0),0)+IF(AND(MOD(H3337,30)&gt;18,MOD(H3337,30)&lt;=30),1,0)*VLOOKUP(D3337,'报价表-配送'!$B$9:$I$13,8,0)+IF(AND(MOD(H3337,30)&gt;8,MOD(H3337,30)&lt;=18),1*VLOOKUP(D3337,'报价表-配送'!$B$9:$I$13,7,0),0)+IF(AND(MOD(H3337,30)&lt;=8,MOD(H3337,30)&gt;2.5),1,0)*VLOOKUP(D3337,'报价表-配送'!$B$9:$I$13,6,0)+IF(AND(MOD(H3337,30)&lt;=2.5,MOD(H3337,30)&gt;=1.5),1,0)*VLOOKUP(D3337,'报价表-配送'!$B$9:$I$13,5,0)</f>
        <v>0</v>
      </c>
      <c r="M3337" s="39">
        <f>IF(AND(MOD(H3337,30)&lt;1.5,MOD(H3337,30)&gt;=0.5),H3337,0)*VLOOKUP(D3337,'报价表-配送'!$B$9:$I$13,4,0)*1000+IF(AND(MOD(H3337,30)&lt;0.5,MOD(H3337,30)&gt;=0.02),H3337,0)*VLOOKUP(D3337,'报价表-配送'!$B$9:$I$13,3,0)*1000+IF(AND(MOD(H3337,30)&lt;0.02),H3337,0)*VLOOKUP(D3337,'报价表-配送'!$B$9:$I$13,2,0)*1000</f>
        <v>0</v>
      </c>
      <c r="N3337" s="127">
        <f t="shared" si="199"/>
        <v>0</v>
      </c>
    </row>
    <row r="3338" spans="1:14" x14ac:dyDescent="0.25">
      <c r="A3338" s="121" t="s">
        <v>83</v>
      </c>
      <c r="B3338" s="121" t="s">
        <v>143</v>
      </c>
      <c r="C3338" s="62">
        <f>VLOOKUP(B3338,合并仓明细!$D$2:$F$74,3,0)</f>
        <v>131</v>
      </c>
      <c r="D3338" s="122" t="s">
        <v>413</v>
      </c>
      <c r="E3338" s="123">
        <v>46042</v>
      </c>
      <c r="F3338" s="121" t="s">
        <v>68</v>
      </c>
      <c r="G3338" s="121">
        <v>423.27947999999998</v>
      </c>
      <c r="H3338" s="124">
        <v>3.6433114114100009</v>
      </c>
      <c r="I3338" s="46">
        <f>ROUNDUP(H3338/30,0)*VLOOKUP(D3338,'报价表-配送'!$B$9:$I$13,8,0)</f>
        <v>0</v>
      </c>
      <c r="J3338" s="125"/>
      <c r="K3338" s="125"/>
      <c r="L3338" s="121"/>
      <c r="M3338" s="126"/>
      <c r="N3338" s="127">
        <f t="shared" si="199"/>
        <v>0</v>
      </c>
    </row>
    <row r="3339" spans="1:14" x14ac:dyDescent="0.25">
      <c r="A3339" s="121" t="s">
        <v>83</v>
      </c>
      <c r="B3339" s="121" t="s">
        <v>143</v>
      </c>
      <c r="C3339" s="62">
        <f>VLOOKUP(B3339,合并仓明细!$D$2:$F$74,3,0)</f>
        <v>131</v>
      </c>
      <c r="D3339" s="122" t="s">
        <v>413</v>
      </c>
      <c r="E3339" s="123">
        <v>46042</v>
      </c>
      <c r="F3339" s="121" t="s">
        <v>67</v>
      </c>
      <c r="G3339" s="121">
        <v>417.04811000000007</v>
      </c>
      <c r="H3339" s="124"/>
      <c r="I3339" s="125"/>
      <c r="J3339" s="125"/>
      <c r="K3339" s="125"/>
      <c r="L3339" s="121"/>
      <c r="M3339" s="126"/>
      <c r="N3339" s="121"/>
    </row>
    <row r="3340" spans="1:14" x14ac:dyDescent="0.25">
      <c r="A3340" s="121" t="s">
        <v>83</v>
      </c>
      <c r="B3340" s="121" t="s">
        <v>143</v>
      </c>
      <c r="C3340" s="62">
        <f>VLOOKUP(B3340,合并仓明细!$D$2:$F$74,3,0)</f>
        <v>131</v>
      </c>
      <c r="D3340" s="122" t="s">
        <v>413</v>
      </c>
      <c r="E3340" s="123">
        <v>46042</v>
      </c>
      <c r="F3340" s="121" t="s">
        <v>66</v>
      </c>
      <c r="G3340" s="121">
        <v>2802.9838214100005</v>
      </c>
      <c r="H3340" s="124"/>
      <c r="I3340" s="125"/>
      <c r="J3340" s="125"/>
      <c r="K3340" s="125"/>
      <c r="L3340" s="121"/>
      <c r="M3340" s="126"/>
      <c r="N3340" s="121"/>
    </row>
    <row r="3341" spans="1:14" x14ac:dyDescent="0.25">
      <c r="A3341" s="121" t="s">
        <v>83</v>
      </c>
      <c r="B3341" s="121" t="s">
        <v>143</v>
      </c>
      <c r="C3341" s="62">
        <f>VLOOKUP(B3341,合并仓明细!$D$2:$F$74,3,0)</f>
        <v>131</v>
      </c>
      <c r="D3341" s="122" t="s">
        <v>413</v>
      </c>
      <c r="E3341" s="123">
        <v>46045</v>
      </c>
      <c r="F3341" s="121" t="s">
        <v>67</v>
      </c>
      <c r="G3341" s="121">
        <v>297.47593799999999</v>
      </c>
      <c r="H3341" s="124">
        <v>0.98408405627000006</v>
      </c>
      <c r="I3341" s="38">
        <f>IF(H3341&gt;30,QUOTIENT(H3341,30)*VLOOKUP(D3341,'报价表-配送'!$B$9:$I$13,8,0),0)+IF(AND(MOD(H3341,30)&gt;18,MOD(H3341,30)&lt;=30),1,0)*VLOOKUP(D3341,'报价表-配送'!$B$9:$I$13,8,0)</f>
        <v>0</v>
      </c>
      <c r="J3341" s="38">
        <f>IF(AND(MOD(H3341,30)&gt;8,MOD(H3341,30)&lt;=18),1*VLOOKUP(D3341,'报价表-配送'!$B$9:$I$13,7,0),0)</f>
        <v>0</v>
      </c>
      <c r="K3341" s="38">
        <f>IF(AND(MOD(H3341,30)&lt;=8,MOD(H3341,30)&gt;0),1,0)*VLOOKUP(D3341,'报价表-配送'!$B$9:$I$13,6,0)</f>
        <v>0</v>
      </c>
      <c r="L3341" s="121"/>
      <c r="M3341" s="126"/>
      <c r="N3341" s="127">
        <f t="shared" ref="N3341" si="200">SUM(I3341:L3341)</f>
        <v>0</v>
      </c>
    </row>
    <row r="3342" spans="1:14" x14ac:dyDescent="0.25">
      <c r="A3342" s="121" t="s">
        <v>83</v>
      </c>
      <c r="B3342" s="121" t="s">
        <v>143</v>
      </c>
      <c r="C3342" s="62">
        <f>VLOOKUP(B3342,合并仓明细!$D$2:$F$74,3,0)</f>
        <v>131</v>
      </c>
      <c r="D3342" s="122" t="s">
        <v>413</v>
      </c>
      <c r="E3342" s="123">
        <v>46045</v>
      </c>
      <c r="F3342" s="121" t="s">
        <v>66</v>
      </c>
      <c r="G3342" s="121">
        <v>686.60811826999998</v>
      </c>
      <c r="H3342" s="124"/>
      <c r="I3342" s="125"/>
      <c r="J3342" s="125"/>
      <c r="K3342" s="125"/>
      <c r="L3342" s="121"/>
      <c r="M3342" s="126"/>
      <c r="N3342" s="121"/>
    </row>
    <row r="3343" spans="1:14" x14ac:dyDescent="0.25">
      <c r="A3343" s="121" t="s">
        <v>83</v>
      </c>
      <c r="B3343" s="121" t="s">
        <v>143</v>
      </c>
      <c r="C3343" s="62">
        <f>VLOOKUP(B3343,合并仓明细!$D$2:$F$74,3,0)</f>
        <v>131</v>
      </c>
      <c r="D3343" s="122" t="s">
        <v>413</v>
      </c>
      <c r="E3343" s="123">
        <v>46055</v>
      </c>
      <c r="F3343" s="121" t="s">
        <v>66</v>
      </c>
      <c r="G3343" s="121">
        <v>347.83000032999996</v>
      </c>
      <c r="H3343" s="124">
        <v>0.34783000032999994</v>
      </c>
      <c r="I3343" s="125"/>
      <c r="J3343" s="125"/>
      <c r="K3343" s="125"/>
      <c r="L3343" s="37">
        <f>IF(H3343&gt;30,QUOTIENT(H3343,30)*VLOOKUP(D3343,'报价表-配送'!$B$9:$I$13,8,0),0)+IF(AND(MOD(H3343,30)&gt;18,MOD(H3343,30)&lt;=30),1,0)*VLOOKUP(D3343,'报价表-配送'!$B$9:$I$13,8,0)+IF(AND(MOD(H3343,30)&gt;8,MOD(H3343,30)&lt;=18),1*VLOOKUP(D3343,'报价表-配送'!$B$9:$I$13,7,0),0)+IF(AND(MOD(H3343,30)&lt;=8,MOD(H3343,30)&gt;2.5),1,0)*VLOOKUP(D3343,'报价表-配送'!$B$9:$I$13,6,0)+IF(AND(MOD(H3343,30)&lt;=2.5,MOD(H3343,30)&gt;=1.5),1,0)*VLOOKUP(D3343,'报价表-配送'!$B$9:$I$13,5,0)</f>
        <v>0</v>
      </c>
      <c r="M3343" s="39">
        <f>IF(AND(MOD(H3343,30)&lt;1.5,MOD(H3343,30)&gt;=0.5),H3343,0)*VLOOKUP(D3343,'报价表-配送'!$B$9:$I$13,4,0)*1000+IF(AND(MOD(H3343,30)&lt;0.5,MOD(H3343,30)&gt;=0.02),H3343,0)*VLOOKUP(D3343,'报价表-配送'!$B$9:$I$13,3,0)*1000+IF(AND(MOD(H3343,30)&lt;0.02),H3343,0)*VLOOKUP(D3343,'报价表-配送'!$B$9:$I$13,2,0)*1000</f>
        <v>0</v>
      </c>
      <c r="N3343" s="127">
        <f t="shared" ref="N3343:N3344" si="201">SUM(I3343:L3343)</f>
        <v>0</v>
      </c>
    </row>
    <row r="3344" spans="1:14" x14ac:dyDescent="0.25">
      <c r="A3344" s="121" t="s">
        <v>83</v>
      </c>
      <c r="B3344" s="121" t="s">
        <v>143</v>
      </c>
      <c r="C3344" s="62">
        <f>VLOOKUP(B3344,合并仓明细!$D$2:$F$74,3,0)</f>
        <v>131</v>
      </c>
      <c r="D3344" s="122" t="s">
        <v>413</v>
      </c>
      <c r="E3344" s="123">
        <v>46058</v>
      </c>
      <c r="F3344" s="121" t="s">
        <v>68</v>
      </c>
      <c r="G3344" s="121">
        <v>524.47379999999998</v>
      </c>
      <c r="H3344" s="124">
        <v>8.7083317966500005</v>
      </c>
      <c r="I3344" s="46">
        <f>ROUNDUP(H3344/30,0)*VLOOKUP(D3344,'报价表-配送'!$B$9:$I$13,8,0)</f>
        <v>0</v>
      </c>
      <c r="J3344" s="125"/>
      <c r="K3344" s="125"/>
      <c r="L3344" s="121"/>
      <c r="M3344" s="126"/>
      <c r="N3344" s="127">
        <f t="shared" si="201"/>
        <v>0</v>
      </c>
    </row>
    <row r="3345" spans="1:14" x14ac:dyDescent="0.25">
      <c r="A3345" s="121" t="s">
        <v>83</v>
      </c>
      <c r="B3345" s="121" t="s">
        <v>143</v>
      </c>
      <c r="C3345" s="62">
        <f>VLOOKUP(B3345,合并仓明细!$D$2:$F$74,3,0)</f>
        <v>131</v>
      </c>
      <c r="D3345" s="122" t="s">
        <v>413</v>
      </c>
      <c r="E3345" s="123">
        <v>46058</v>
      </c>
      <c r="F3345" s="121" t="s">
        <v>67</v>
      </c>
      <c r="G3345" s="121">
        <v>3681.10572</v>
      </c>
      <c r="H3345" s="124"/>
      <c r="I3345" s="125"/>
      <c r="J3345" s="125"/>
      <c r="K3345" s="125"/>
      <c r="L3345" s="121"/>
      <c r="M3345" s="126"/>
      <c r="N3345" s="121"/>
    </row>
    <row r="3346" spans="1:14" x14ac:dyDescent="0.25">
      <c r="A3346" s="121" t="s">
        <v>83</v>
      </c>
      <c r="B3346" s="121" t="s">
        <v>143</v>
      </c>
      <c r="C3346" s="62">
        <f>VLOOKUP(B3346,合并仓明细!$D$2:$F$74,3,0)</f>
        <v>131</v>
      </c>
      <c r="D3346" s="122" t="s">
        <v>413</v>
      </c>
      <c r="E3346" s="123">
        <v>46058</v>
      </c>
      <c r="F3346" s="121" t="s">
        <v>66</v>
      </c>
      <c r="G3346" s="121">
        <v>4502.7522766499987</v>
      </c>
      <c r="H3346" s="124"/>
      <c r="I3346" s="125"/>
      <c r="J3346" s="125"/>
      <c r="K3346" s="125"/>
      <c r="L3346" s="121"/>
      <c r="M3346" s="126"/>
      <c r="N3346" s="121"/>
    </row>
    <row r="3347" spans="1:14" x14ac:dyDescent="0.25">
      <c r="A3347" s="121" t="s">
        <v>83</v>
      </c>
      <c r="B3347" s="121" t="s">
        <v>143</v>
      </c>
      <c r="C3347" s="62">
        <f>VLOOKUP(B3347,合并仓明细!$D$2:$F$74,3,0)</f>
        <v>131</v>
      </c>
      <c r="D3347" s="122" t="s">
        <v>413</v>
      </c>
      <c r="E3347" s="123">
        <v>46059</v>
      </c>
      <c r="F3347" s="121" t="s">
        <v>66</v>
      </c>
      <c r="G3347" s="121">
        <v>594.24249986000007</v>
      </c>
      <c r="H3347" s="124">
        <v>0.59424249986000011</v>
      </c>
      <c r="I3347" s="125"/>
      <c r="J3347" s="125"/>
      <c r="K3347" s="125"/>
      <c r="L3347" s="37">
        <f>IF(H3347&gt;30,QUOTIENT(H3347,30)*VLOOKUP(D3347,'报价表-配送'!$B$9:$I$13,8,0),0)+IF(AND(MOD(H3347,30)&gt;18,MOD(H3347,30)&lt;=30),1,0)*VLOOKUP(D3347,'报价表-配送'!$B$9:$I$13,8,0)+IF(AND(MOD(H3347,30)&gt;8,MOD(H3347,30)&lt;=18),1*VLOOKUP(D3347,'报价表-配送'!$B$9:$I$13,7,0),0)+IF(AND(MOD(H3347,30)&lt;=8,MOD(H3347,30)&gt;2.5),1,0)*VLOOKUP(D3347,'报价表-配送'!$B$9:$I$13,6,0)+IF(AND(MOD(H3347,30)&lt;=2.5,MOD(H3347,30)&gt;=1.5),1,0)*VLOOKUP(D3347,'报价表-配送'!$B$9:$I$13,5,0)</f>
        <v>0</v>
      </c>
      <c r="M3347" s="39">
        <f>IF(AND(MOD(H3347,30)&lt;1.5,MOD(H3347,30)&gt;=0.5),H3347,0)*VLOOKUP(D3347,'报价表-配送'!$B$9:$I$13,4,0)*1000+IF(AND(MOD(H3347,30)&lt;0.5,MOD(H3347,30)&gt;=0.02),H3347,0)*VLOOKUP(D3347,'报价表-配送'!$B$9:$I$13,3,0)*1000+IF(AND(MOD(H3347,30)&lt;0.02),H3347,0)*VLOOKUP(D3347,'报价表-配送'!$B$9:$I$13,2,0)*1000</f>
        <v>0</v>
      </c>
      <c r="N3347" s="127">
        <f t="shared" ref="N3347:N3349" si="202">SUM(I3347:L3347)</f>
        <v>0</v>
      </c>
    </row>
    <row r="3348" spans="1:14" x14ac:dyDescent="0.25">
      <c r="A3348" s="121" t="s">
        <v>83</v>
      </c>
      <c r="B3348" s="121" t="s">
        <v>143</v>
      </c>
      <c r="C3348" s="62">
        <f>VLOOKUP(B3348,合并仓明细!$D$2:$F$74,3,0)</f>
        <v>131</v>
      </c>
      <c r="D3348" s="122" t="s">
        <v>413</v>
      </c>
      <c r="E3348" s="123">
        <v>46065</v>
      </c>
      <c r="F3348" s="121" t="s">
        <v>66</v>
      </c>
      <c r="G3348" s="121">
        <v>13385.829374999999</v>
      </c>
      <c r="H3348" s="124">
        <v>13.385829375</v>
      </c>
      <c r="I3348" s="125"/>
      <c r="J3348" s="125"/>
      <c r="K3348" s="125"/>
      <c r="L3348" s="37">
        <f>IF(H3348&gt;30,QUOTIENT(H3348,30)*VLOOKUP(D3348,'报价表-配送'!$B$9:$I$13,8,0),0)+IF(AND(MOD(H3348,30)&gt;18,MOD(H3348,30)&lt;=30),1,0)*VLOOKUP(D3348,'报价表-配送'!$B$9:$I$13,8,0)+IF(AND(MOD(H3348,30)&gt;8,MOD(H3348,30)&lt;=18),1*VLOOKUP(D3348,'报价表-配送'!$B$9:$I$13,7,0),0)+IF(AND(MOD(H3348,30)&lt;=8,MOD(H3348,30)&gt;2.5),1,0)*VLOOKUP(D3348,'报价表-配送'!$B$9:$I$13,6,0)+IF(AND(MOD(H3348,30)&lt;=2.5,MOD(H3348,30)&gt;=1.5),1,0)*VLOOKUP(D3348,'报价表-配送'!$B$9:$I$13,5,0)</f>
        <v>0</v>
      </c>
      <c r="M3348" s="39">
        <f>IF(AND(MOD(H3348,30)&lt;1.5,MOD(H3348,30)&gt;=0.5),H3348,0)*VLOOKUP(D3348,'报价表-配送'!$B$9:$I$13,4,0)*1000+IF(AND(MOD(H3348,30)&lt;0.5,MOD(H3348,30)&gt;=0.02),H3348,0)*VLOOKUP(D3348,'报价表-配送'!$B$9:$I$13,3,0)*1000+IF(AND(MOD(H3348,30)&lt;0.02),H3348,0)*VLOOKUP(D3348,'报价表-配送'!$B$9:$I$13,2,0)*1000</f>
        <v>0</v>
      </c>
      <c r="N3348" s="127">
        <f t="shared" si="202"/>
        <v>0</v>
      </c>
    </row>
    <row r="3349" spans="1:14" x14ac:dyDescent="0.25">
      <c r="A3349" s="121" t="s">
        <v>83</v>
      </c>
      <c r="B3349" s="121" t="s">
        <v>143</v>
      </c>
      <c r="C3349" s="62">
        <f>VLOOKUP(B3349,合并仓明细!$D$2:$F$74,3,0)</f>
        <v>131</v>
      </c>
      <c r="D3349" s="122" t="s">
        <v>413</v>
      </c>
      <c r="E3349" s="123">
        <v>46091</v>
      </c>
      <c r="F3349" s="121" t="s">
        <v>67</v>
      </c>
      <c r="G3349" s="121">
        <v>89.890780000000007</v>
      </c>
      <c r="H3349" s="124">
        <v>1.6623207800000002</v>
      </c>
      <c r="I3349" s="38">
        <f>IF(H3349&gt;30,QUOTIENT(H3349,30)*VLOOKUP(D3349,'报价表-配送'!$B$9:$I$13,8,0),0)+IF(AND(MOD(H3349,30)&gt;18,MOD(H3349,30)&lt;=30),1,0)*VLOOKUP(D3349,'报价表-配送'!$B$9:$I$13,8,0)</f>
        <v>0</v>
      </c>
      <c r="J3349" s="38">
        <f>IF(AND(MOD(H3349,30)&gt;8,MOD(H3349,30)&lt;=18),1*VLOOKUP(D3349,'报价表-配送'!$B$9:$I$13,7,0),0)</f>
        <v>0</v>
      </c>
      <c r="K3349" s="38">
        <f>IF(AND(MOD(H3349,30)&lt;=8,MOD(H3349,30)&gt;0),1,0)*VLOOKUP(D3349,'报价表-配送'!$B$9:$I$13,6,0)</f>
        <v>0</v>
      </c>
      <c r="L3349" s="121"/>
      <c r="M3349" s="126"/>
      <c r="N3349" s="127">
        <f t="shared" si="202"/>
        <v>0</v>
      </c>
    </row>
    <row r="3350" spans="1:14" x14ac:dyDescent="0.25">
      <c r="A3350" s="121" t="s">
        <v>83</v>
      </c>
      <c r="B3350" s="121" t="s">
        <v>143</v>
      </c>
      <c r="C3350" s="62">
        <f>VLOOKUP(B3350,合并仓明细!$D$2:$F$74,3,0)</f>
        <v>131</v>
      </c>
      <c r="D3350" s="122" t="s">
        <v>413</v>
      </c>
      <c r="E3350" s="123">
        <v>46091</v>
      </c>
      <c r="F3350" s="121" t="s">
        <v>66</v>
      </c>
      <c r="G3350" s="121">
        <v>1572.4300000000003</v>
      </c>
      <c r="H3350" s="124"/>
      <c r="I3350" s="125"/>
      <c r="J3350" s="125"/>
      <c r="K3350" s="125"/>
      <c r="L3350" s="121"/>
      <c r="M3350" s="126"/>
      <c r="N3350" s="121"/>
    </row>
    <row r="3351" spans="1:14" x14ac:dyDescent="0.25">
      <c r="A3351" s="121" t="s">
        <v>83</v>
      </c>
      <c r="B3351" s="121" t="s">
        <v>143</v>
      </c>
      <c r="C3351" s="62">
        <f>VLOOKUP(B3351,合并仓明细!$D$2:$F$74,3,0)</f>
        <v>131</v>
      </c>
      <c r="D3351" s="122" t="s">
        <v>413</v>
      </c>
      <c r="E3351" s="123">
        <v>46094</v>
      </c>
      <c r="F3351" s="121" t="s">
        <v>66</v>
      </c>
      <c r="G3351" s="121">
        <v>601.55181859999993</v>
      </c>
      <c r="H3351" s="124">
        <v>0.60155181859999995</v>
      </c>
      <c r="I3351" s="125"/>
      <c r="J3351" s="125"/>
      <c r="K3351" s="125"/>
      <c r="L3351" s="37">
        <f>IF(H3351&gt;30,QUOTIENT(H3351,30)*VLOOKUP(D3351,'报价表-配送'!$B$9:$I$13,8,0),0)+IF(AND(MOD(H3351,30)&gt;18,MOD(H3351,30)&lt;=30),1,0)*VLOOKUP(D3351,'报价表-配送'!$B$9:$I$13,8,0)+IF(AND(MOD(H3351,30)&gt;8,MOD(H3351,30)&lt;=18),1*VLOOKUP(D3351,'报价表-配送'!$B$9:$I$13,7,0),0)+IF(AND(MOD(H3351,30)&lt;=8,MOD(H3351,30)&gt;2.5),1,0)*VLOOKUP(D3351,'报价表-配送'!$B$9:$I$13,6,0)+IF(AND(MOD(H3351,30)&lt;=2.5,MOD(H3351,30)&gt;=1.5),1,0)*VLOOKUP(D3351,'报价表-配送'!$B$9:$I$13,5,0)</f>
        <v>0</v>
      </c>
      <c r="M3351" s="39">
        <f>IF(AND(MOD(H3351,30)&lt;1.5,MOD(H3351,30)&gt;=0.5),H3351,0)*VLOOKUP(D3351,'报价表-配送'!$B$9:$I$13,4,0)*1000+IF(AND(MOD(H3351,30)&lt;0.5,MOD(H3351,30)&gt;=0.02),H3351,0)*VLOOKUP(D3351,'报价表-配送'!$B$9:$I$13,3,0)*1000+IF(AND(MOD(H3351,30)&lt;0.02),H3351,0)*VLOOKUP(D3351,'报价表-配送'!$B$9:$I$13,2,0)*1000</f>
        <v>0</v>
      </c>
      <c r="N3351" s="127">
        <f t="shared" ref="N3351:N3352" si="203">SUM(I3351:L3351)</f>
        <v>0</v>
      </c>
    </row>
    <row r="3352" spans="1:14" x14ac:dyDescent="0.25">
      <c r="A3352" s="121" t="s">
        <v>83</v>
      </c>
      <c r="B3352" s="121" t="s">
        <v>143</v>
      </c>
      <c r="C3352" s="62">
        <f>VLOOKUP(B3352,合并仓明细!$D$2:$F$74,3,0)</f>
        <v>131</v>
      </c>
      <c r="D3352" s="122" t="s">
        <v>413</v>
      </c>
      <c r="E3352" s="123">
        <v>46097</v>
      </c>
      <c r="F3352" s="121" t="s">
        <v>67</v>
      </c>
      <c r="G3352" s="121">
        <v>207.19794920000001</v>
      </c>
      <c r="H3352" s="124">
        <v>0.21483294920000001</v>
      </c>
      <c r="I3352" s="38">
        <f>IF(H3352&gt;30,QUOTIENT(H3352,30)*VLOOKUP(D3352,'报价表-配送'!$B$9:$I$13,8,0),0)+IF(AND(MOD(H3352,30)&gt;18,MOD(H3352,30)&lt;=30),1,0)*VLOOKUP(D3352,'报价表-配送'!$B$9:$I$13,8,0)</f>
        <v>0</v>
      </c>
      <c r="J3352" s="38">
        <f>IF(AND(MOD(H3352,30)&gt;8,MOD(H3352,30)&lt;=18),1*VLOOKUP(D3352,'报价表-配送'!$B$9:$I$13,7,0),0)</f>
        <v>0</v>
      </c>
      <c r="K3352" s="38">
        <f>IF(AND(MOD(H3352,30)&lt;=8,MOD(H3352,30)&gt;0),1,0)*VLOOKUP(D3352,'报价表-配送'!$B$9:$I$13,6,0)</f>
        <v>0</v>
      </c>
      <c r="L3352" s="121"/>
      <c r="M3352" s="126"/>
      <c r="N3352" s="127">
        <f t="shared" si="203"/>
        <v>0</v>
      </c>
    </row>
    <row r="3353" spans="1:14" x14ac:dyDescent="0.25">
      <c r="A3353" s="121" t="s">
        <v>83</v>
      </c>
      <c r="B3353" s="121" t="s">
        <v>143</v>
      </c>
      <c r="C3353" s="62">
        <f>VLOOKUP(B3353,合并仓明细!$D$2:$F$74,3,0)</f>
        <v>131</v>
      </c>
      <c r="D3353" s="122" t="s">
        <v>413</v>
      </c>
      <c r="E3353" s="123">
        <v>46097</v>
      </c>
      <c r="F3353" s="121" t="s">
        <v>66</v>
      </c>
      <c r="G3353" s="121">
        <v>7.6349999999999998</v>
      </c>
      <c r="H3353" s="124"/>
      <c r="I3353" s="125"/>
      <c r="J3353" s="125"/>
      <c r="K3353" s="125"/>
      <c r="L3353" s="121"/>
      <c r="M3353" s="126"/>
      <c r="N3353" s="121"/>
    </row>
    <row r="3354" spans="1:14" x14ac:dyDescent="0.25">
      <c r="A3354" s="121" t="s">
        <v>83</v>
      </c>
      <c r="B3354" s="121" t="s">
        <v>143</v>
      </c>
      <c r="C3354" s="62">
        <f>VLOOKUP(B3354,合并仓明细!$D$2:$F$74,3,0)</f>
        <v>131</v>
      </c>
      <c r="D3354" s="122" t="s">
        <v>413</v>
      </c>
      <c r="E3354" s="123">
        <v>46098</v>
      </c>
      <c r="F3354" s="121" t="s">
        <v>66</v>
      </c>
      <c r="G3354" s="121">
        <v>962.6464582699997</v>
      </c>
      <c r="H3354" s="124">
        <v>0.96264645826999973</v>
      </c>
      <c r="I3354" s="125"/>
      <c r="J3354" s="125"/>
      <c r="K3354" s="125"/>
      <c r="L3354" s="37">
        <f>IF(H3354&gt;30,QUOTIENT(H3354,30)*VLOOKUP(D3354,'报价表-配送'!$B$9:$I$13,8,0),0)+IF(AND(MOD(H3354,30)&gt;18,MOD(H3354,30)&lt;=30),1,0)*VLOOKUP(D3354,'报价表-配送'!$B$9:$I$13,8,0)+IF(AND(MOD(H3354,30)&gt;8,MOD(H3354,30)&lt;=18),1*VLOOKUP(D3354,'报价表-配送'!$B$9:$I$13,7,0),0)+IF(AND(MOD(H3354,30)&lt;=8,MOD(H3354,30)&gt;2.5),1,0)*VLOOKUP(D3354,'报价表-配送'!$B$9:$I$13,6,0)+IF(AND(MOD(H3354,30)&lt;=2.5,MOD(H3354,30)&gt;=1.5),1,0)*VLOOKUP(D3354,'报价表-配送'!$B$9:$I$13,5,0)</f>
        <v>0</v>
      </c>
      <c r="M3354" s="39">
        <f>IF(AND(MOD(H3354,30)&lt;1.5,MOD(H3354,30)&gt;=0.5),H3354,0)*VLOOKUP(D3354,'报价表-配送'!$B$9:$I$13,4,0)*1000+IF(AND(MOD(H3354,30)&lt;0.5,MOD(H3354,30)&gt;=0.02),H3354,0)*VLOOKUP(D3354,'报价表-配送'!$B$9:$I$13,3,0)*1000+IF(AND(MOD(H3354,30)&lt;0.02),H3354,0)*VLOOKUP(D3354,'报价表-配送'!$B$9:$I$13,2,0)*1000</f>
        <v>0</v>
      </c>
      <c r="N3354" s="127">
        <f t="shared" ref="N3354:N3355" si="204">SUM(I3354:L3354)</f>
        <v>0</v>
      </c>
    </row>
    <row r="3355" spans="1:14" x14ac:dyDescent="0.25">
      <c r="A3355" s="121" t="s">
        <v>83</v>
      </c>
      <c r="B3355" s="121" t="s">
        <v>143</v>
      </c>
      <c r="C3355" s="62">
        <f>VLOOKUP(B3355,合并仓明细!$D$2:$F$74,3,0)</f>
        <v>131</v>
      </c>
      <c r="D3355" s="122" t="s">
        <v>413</v>
      </c>
      <c r="E3355" s="123">
        <v>46099</v>
      </c>
      <c r="F3355" s="121" t="s">
        <v>67</v>
      </c>
      <c r="G3355" s="121">
        <v>138.76465200000001</v>
      </c>
      <c r="H3355" s="124">
        <v>1.0276037206400002</v>
      </c>
      <c r="I3355" s="38">
        <f>IF(H3355&gt;30,QUOTIENT(H3355,30)*VLOOKUP(D3355,'报价表-配送'!$B$9:$I$13,8,0),0)+IF(AND(MOD(H3355,30)&gt;18,MOD(H3355,30)&lt;=30),1,0)*VLOOKUP(D3355,'报价表-配送'!$B$9:$I$13,8,0)</f>
        <v>0</v>
      </c>
      <c r="J3355" s="38">
        <f>IF(AND(MOD(H3355,30)&gt;8,MOD(H3355,30)&lt;=18),1*VLOOKUP(D3355,'报价表-配送'!$B$9:$I$13,7,0),0)</f>
        <v>0</v>
      </c>
      <c r="K3355" s="38">
        <f>IF(AND(MOD(H3355,30)&lt;=8,MOD(H3355,30)&gt;0),1,0)*VLOOKUP(D3355,'报价表-配送'!$B$9:$I$13,6,0)</f>
        <v>0</v>
      </c>
      <c r="L3355" s="121"/>
      <c r="M3355" s="126"/>
      <c r="N3355" s="127">
        <f t="shared" si="204"/>
        <v>0</v>
      </c>
    </row>
    <row r="3356" spans="1:14" x14ac:dyDescent="0.25">
      <c r="A3356" s="121" t="s">
        <v>83</v>
      </c>
      <c r="B3356" s="121" t="s">
        <v>143</v>
      </c>
      <c r="C3356" s="62">
        <f>VLOOKUP(B3356,合并仓明细!$D$2:$F$74,3,0)</f>
        <v>131</v>
      </c>
      <c r="D3356" s="122" t="s">
        <v>413</v>
      </c>
      <c r="E3356" s="123">
        <v>46099</v>
      </c>
      <c r="F3356" s="121" t="s">
        <v>66</v>
      </c>
      <c r="G3356" s="121">
        <v>888.83906864000016</v>
      </c>
      <c r="H3356" s="124"/>
      <c r="I3356" s="125"/>
      <c r="J3356" s="125"/>
      <c r="K3356" s="125"/>
      <c r="L3356" s="121"/>
      <c r="M3356" s="126"/>
      <c r="N3356" s="121"/>
    </row>
    <row r="3357" spans="1:14" x14ac:dyDescent="0.25">
      <c r="A3357" s="121" t="s">
        <v>83</v>
      </c>
      <c r="B3357" s="121" t="s">
        <v>143</v>
      </c>
      <c r="C3357" s="62">
        <f>VLOOKUP(B3357,合并仓明细!$D$2:$F$74,3,0)</f>
        <v>131</v>
      </c>
      <c r="D3357" s="122" t="s">
        <v>413</v>
      </c>
      <c r="E3357" s="123">
        <v>46100</v>
      </c>
      <c r="F3357" s="121" t="s">
        <v>66</v>
      </c>
      <c r="G3357" s="121">
        <v>1405.6000000000001</v>
      </c>
      <c r="H3357" s="124">
        <v>1.4056000000000002</v>
      </c>
      <c r="I3357" s="125"/>
      <c r="J3357" s="125"/>
      <c r="K3357" s="125"/>
      <c r="L3357" s="37">
        <f>IF(H3357&gt;30,QUOTIENT(H3357,30)*VLOOKUP(D3357,'报价表-配送'!$B$9:$I$13,8,0),0)+IF(AND(MOD(H3357,30)&gt;18,MOD(H3357,30)&lt;=30),1,0)*VLOOKUP(D3357,'报价表-配送'!$B$9:$I$13,8,0)+IF(AND(MOD(H3357,30)&gt;8,MOD(H3357,30)&lt;=18),1*VLOOKUP(D3357,'报价表-配送'!$B$9:$I$13,7,0),0)+IF(AND(MOD(H3357,30)&lt;=8,MOD(H3357,30)&gt;2.5),1,0)*VLOOKUP(D3357,'报价表-配送'!$B$9:$I$13,6,0)+IF(AND(MOD(H3357,30)&lt;=2.5,MOD(H3357,30)&gt;=1.5),1,0)*VLOOKUP(D3357,'报价表-配送'!$B$9:$I$13,5,0)</f>
        <v>0</v>
      </c>
      <c r="M3357" s="39">
        <f>IF(AND(MOD(H3357,30)&lt;1.5,MOD(H3357,30)&gt;=0.5),H3357,0)*VLOOKUP(D3357,'报价表-配送'!$B$9:$I$13,4,0)*1000+IF(AND(MOD(H3357,30)&lt;0.5,MOD(H3357,30)&gt;=0.02),H3357,0)*VLOOKUP(D3357,'报价表-配送'!$B$9:$I$13,3,0)*1000+IF(AND(MOD(H3357,30)&lt;0.02),H3357,0)*VLOOKUP(D3357,'报价表-配送'!$B$9:$I$13,2,0)*1000</f>
        <v>0</v>
      </c>
      <c r="N3357" s="127">
        <f t="shared" ref="N3357:N3358" si="205">SUM(I3357:L3357)</f>
        <v>0</v>
      </c>
    </row>
    <row r="3358" spans="1:14" x14ac:dyDescent="0.25">
      <c r="A3358" s="121" t="s">
        <v>83</v>
      </c>
      <c r="B3358" s="121" t="s">
        <v>143</v>
      </c>
      <c r="C3358" s="62">
        <f>VLOOKUP(B3358,合并仓明细!$D$2:$F$74,3,0)</f>
        <v>131</v>
      </c>
      <c r="D3358" s="122" t="s">
        <v>413</v>
      </c>
      <c r="E3358" s="123">
        <v>46105</v>
      </c>
      <c r="F3358" s="121" t="s">
        <v>68</v>
      </c>
      <c r="G3358" s="121">
        <v>208.03200000000001</v>
      </c>
      <c r="H3358" s="124">
        <v>2.2775522466</v>
      </c>
      <c r="I3358" s="46">
        <f>ROUNDUP(H3358/30,0)*VLOOKUP(D3358,'报价表-配送'!$B$9:$I$13,8,0)</f>
        <v>0</v>
      </c>
      <c r="J3358" s="125"/>
      <c r="K3358" s="125"/>
      <c r="L3358" s="121"/>
      <c r="M3358" s="126"/>
      <c r="N3358" s="127">
        <f t="shared" si="205"/>
        <v>0</v>
      </c>
    </row>
    <row r="3359" spans="1:14" x14ac:dyDescent="0.25">
      <c r="A3359" s="121" t="s">
        <v>83</v>
      </c>
      <c r="B3359" s="121" t="s">
        <v>143</v>
      </c>
      <c r="C3359" s="62">
        <f>VLOOKUP(B3359,合并仓明细!$D$2:$F$74,3,0)</f>
        <v>131</v>
      </c>
      <c r="D3359" s="122" t="s">
        <v>413</v>
      </c>
      <c r="E3359" s="123">
        <v>46105</v>
      </c>
      <c r="F3359" s="121" t="s">
        <v>67</v>
      </c>
      <c r="G3359" s="121">
        <v>352.96508</v>
      </c>
      <c r="H3359" s="124"/>
      <c r="I3359" s="125"/>
      <c r="J3359" s="125"/>
      <c r="K3359" s="125"/>
      <c r="L3359" s="121"/>
      <c r="M3359" s="126"/>
      <c r="N3359" s="121"/>
    </row>
    <row r="3360" spans="1:14" x14ac:dyDescent="0.25">
      <c r="A3360" s="121" t="s">
        <v>83</v>
      </c>
      <c r="B3360" s="121" t="s">
        <v>143</v>
      </c>
      <c r="C3360" s="62">
        <f>VLOOKUP(B3360,合并仓明细!$D$2:$F$74,3,0)</f>
        <v>131</v>
      </c>
      <c r="D3360" s="122" t="s">
        <v>413</v>
      </c>
      <c r="E3360" s="123">
        <v>46105</v>
      </c>
      <c r="F3360" s="121" t="s">
        <v>66</v>
      </c>
      <c r="G3360" s="121">
        <v>1716.5551666000003</v>
      </c>
      <c r="H3360" s="124"/>
      <c r="I3360" s="125"/>
      <c r="J3360" s="125"/>
      <c r="K3360" s="125"/>
      <c r="L3360" s="121"/>
      <c r="M3360" s="126"/>
      <c r="N3360" s="121"/>
    </row>
    <row r="3361" spans="1:14" x14ac:dyDescent="0.25">
      <c r="A3361" s="121" t="s">
        <v>83</v>
      </c>
      <c r="B3361" s="121" t="s">
        <v>143</v>
      </c>
      <c r="C3361" s="62">
        <f>VLOOKUP(B3361,合并仓明细!$D$2:$F$74,3,0)</f>
        <v>131</v>
      </c>
      <c r="D3361" s="122" t="s">
        <v>413</v>
      </c>
      <c r="E3361" s="123">
        <v>46107</v>
      </c>
      <c r="F3361" s="121" t="s">
        <v>66</v>
      </c>
      <c r="G3361" s="121">
        <v>2669.8687500000001</v>
      </c>
      <c r="H3361" s="124">
        <v>2.66986875</v>
      </c>
      <c r="I3361" s="125"/>
      <c r="J3361" s="125"/>
      <c r="K3361" s="125"/>
      <c r="L3361" s="37">
        <f>IF(H3361&gt;30,QUOTIENT(H3361,30)*VLOOKUP(D3361,'报价表-配送'!$B$9:$I$13,8,0),0)+IF(AND(MOD(H3361,30)&gt;18,MOD(H3361,30)&lt;=30),1,0)*VLOOKUP(D3361,'报价表-配送'!$B$9:$I$13,8,0)+IF(AND(MOD(H3361,30)&gt;8,MOD(H3361,30)&lt;=18),1*VLOOKUP(D3361,'报价表-配送'!$B$9:$I$13,7,0),0)+IF(AND(MOD(H3361,30)&lt;=8,MOD(H3361,30)&gt;2.5),1,0)*VLOOKUP(D3361,'报价表-配送'!$B$9:$I$13,6,0)+IF(AND(MOD(H3361,30)&lt;=2.5,MOD(H3361,30)&gt;=1.5),1,0)*VLOOKUP(D3361,'报价表-配送'!$B$9:$I$13,5,0)</f>
        <v>0</v>
      </c>
      <c r="M3361" s="39">
        <f>IF(AND(MOD(H3361,30)&lt;1.5,MOD(H3361,30)&gt;=0.5),H3361,0)*VLOOKUP(D3361,'报价表-配送'!$B$9:$I$13,4,0)*1000+IF(AND(MOD(H3361,30)&lt;0.5,MOD(H3361,30)&gt;=0.02),H3361,0)*VLOOKUP(D3361,'报价表-配送'!$B$9:$I$13,3,0)*1000+IF(AND(MOD(H3361,30)&lt;0.02),H3361,0)*VLOOKUP(D3361,'报价表-配送'!$B$9:$I$13,2,0)*1000</f>
        <v>0</v>
      </c>
      <c r="N3361" s="127">
        <f t="shared" ref="N3361:N3363" si="206">SUM(I3361:L3361)</f>
        <v>0</v>
      </c>
    </row>
    <row r="3362" spans="1:14" x14ac:dyDescent="0.25">
      <c r="A3362" s="121" t="s">
        <v>83</v>
      </c>
      <c r="B3362" s="121" t="s">
        <v>143</v>
      </c>
      <c r="C3362" s="62">
        <f>VLOOKUP(B3362,合并仓明细!$D$2:$F$74,3,0)</f>
        <v>131</v>
      </c>
      <c r="D3362" s="122" t="s">
        <v>413</v>
      </c>
      <c r="E3362" s="123">
        <v>46108</v>
      </c>
      <c r="F3362" s="121" t="s">
        <v>66</v>
      </c>
      <c r="G3362" s="121">
        <v>2923.1743750000001</v>
      </c>
      <c r="H3362" s="124">
        <v>2.9231743749999999</v>
      </c>
      <c r="I3362" s="125"/>
      <c r="J3362" s="125"/>
      <c r="K3362" s="125"/>
      <c r="L3362" s="37">
        <f>IF(H3362&gt;30,QUOTIENT(H3362,30)*VLOOKUP(D3362,'报价表-配送'!$B$9:$I$13,8,0),0)+IF(AND(MOD(H3362,30)&gt;18,MOD(H3362,30)&lt;=30),1,0)*VLOOKUP(D3362,'报价表-配送'!$B$9:$I$13,8,0)+IF(AND(MOD(H3362,30)&gt;8,MOD(H3362,30)&lt;=18),1*VLOOKUP(D3362,'报价表-配送'!$B$9:$I$13,7,0),0)+IF(AND(MOD(H3362,30)&lt;=8,MOD(H3362,30)&gt;2.5),1,0)*VLOOKUP(D3362,'报价表-配送'!$B$9:$I$13,6,0)+IF(AND(MOD(H3362,30)&lt;=2.5,MOD(H3362,30)&gt;=1.5),1,0)*VLOOKUP(D3362,'报价表-配送'!$B$9:$I$13,5,0)</f>
        <v>0</v>
      </c>
      <c r="M3362" s="39">
        <f>IF(AND(MOD(H3362,30)&lt;1.5,MOD(H3362,30)&gt;=0.5),H3362,0)*VLOOKUP(D3362,'报价表-配送'!$B$9:$I$13,4,0)*1000+IF(AND(MOD(H3362,30)&lt;0.5,MOD(H3362,30)&gt;=0.02),H3362,0)*VLOOKUP(D3362,'报价表-配送'!$B$9:$I$13,3,0)*1000+IF(AND(MOD(H3362,30)&lt;0.02),H3362,0)*VLOOKUP(D3362,'报价表-配送'!$B$9:$I$13,2,0)*1000</f>
        <v>0</v>
      </c>
      <c r="N3362" s="127">
        <f t="shared" si="206"/>
        <v>0</v>
      </c>
    </row>
    <row r="3363" spans="1:14" x14ac:dyDescent="0.25">
      <c r="A3363" s="121" t="s">
        <v>83</v>
      </c>
      <c r="B3363" s="121" t="s">
        <v>143</v>
      </c>
      <c r="C3363" s="62">
        <f>VLOOKUP(B3363,合并仓明细!$D$2:$F$74,3,0)</f>
        <v>131</v>
      </c>
      <c r="D3363" s="122" t="s">
        <v>413</v>
      </c>
      <c r="E3363" s="123">
        <v>46112</v>
      </c>
      <c r="F3363" s="121" t="s">
        <v>68</v>
      </c>
      <c r="G3363" s="121">
        <v>5126.87</v>
      </c>
      <c r="H3363" s="124">
        <v>5.4374500000000001</v>
      </c>
      <c r="I3363" s="46">
        <f>ROUNDUP(H3363/30,0)*VLOOKUP(D3363,'报价表-配送'!$B$9:$I$13,8,0)</f>
        <v>0</v>
      </c>
      <c r="J3363" s="125"/>
      <c r="K3363" s="125"/>
      <c r="L3363" s="121"/>
      <c r="M3363" s="126"/>
      <c r="N3363" s="127">
        <f t="shared" si="206"/>
        <v>0</v>
      </c>
    </row>
    <row r="3364" spans="1:14" x14ac:dyDescent="0.25">
      <c r="A3364" s="121" t="s">
        <v>83</v>
      </c>
      <c r="B3364" s="121" t="s">
        <v>143</v>
      </c>
      <c r="C3364" s="62">
        <f>VLOOKUP(B3364,合并仓明细!$D$2:$F$74,3,0)</f>
        <v>131</v>
      </c>
      <c r="D3364" s="122" t="s">
        <v>413</v>
      </c>
      <c r="E3364" s="123">
        <v>46112</v>
      </c>
      <c r="F3364" s="121" t="s">
        <v>67</v>
      </c>
      <c r="G3364" s="121">
        <v>310.58</v>
      </c>
      <c r="H3364" s="124"/>
      <c r="I3364" s="125"/>
      <c r="J3364" s="125"/>
      <c r="K3364" s="125"/>
      <c r="L3364" s="121"/>
      <c r="M3364" s="126"/>
      <c r="N3364" s="121"/>
    </row>
    <row r="3365" spans="1:14" x14ac:dyDescent="0.25">
      <c r="A3365" s="121" t="s">
        <v>83</v>
      </c>
      <c r="B3365" s="121" t="s">
        <v>177</v>
      </c>
      <c r="C3365" s="62">
        <f>VLOOKUP(B3365,合并仓明细!$D$2:$F$74,3,0)</f>
        <v>269</v>
      </c>
      <c r="D3365" s="122" t="s">
        <v>414</v>
      </c>
      <c r="E3365" s="123">
        <v>45942</v>
      </c>
      <c r="F3365" s="121" t="s">
        <v>66</v>
      </c>
      <c r="G3365" s="121">
        <v>3340.8316249999998</v>
      </c>
      <c r="H3365" s="124">
        <v>3.3408316249999999</v>
      </c>
      <c r="I3365" s="125"/>
      <c r="J3365" s="125"/>
      <c r="K3365" s="125"/>
      <c r="L3365" s="37">
        <f>IF(H3365&gt;30,QUOTIENT(H3365,30)*VLOOKUP(D3365,'报价表-配送'!$B$9:$I$13,8,0),0)+IF(AND(MOD(H3365,30)&gt;18,MOD(H3365,30)&lt;=30),1,0)*VLOOKUP(D3365,'报价表-配送'!$B$9:$I$13,8,0)+IF(AND(MOD(H3365,30)&gt;8,MOD(H3365,30)&lt;=18),1*VLOOKUP(D3365,'报价表-配送'!$B$9:$I$13,7,0),0)+IF(AND(MOD(H3365,30)&lt;=8,MOD(H3365,30)&gt;2.5),1,0)*VLOOKUP(D3365,'报价表-配送'!$B$9:$I$13,6,0)+IF(AND(MOD(H3365,30)&lt;=2.5,MOD(H3365,30)&gt;=1.5),1,0)*VLOOKUP(D3365,'报价表-配送'!$B$9:$I$13,5,0)</f>
        <v>0</v>
      </c>
      <c r="M3365" s="39">
        <f>IF(AND(MOD(H3365,30)&lt;1.5,MOD(H3365,30)&gt;=0.5),H3365,0)*VLOOKUP(D3365,'报价表-配送'!$B$9:$I$13,4,0)*1000+IF(AND(MOD(H3365,30)&lt;0.5,MOD(H3365,30)&gt;=0.02),H3365,0)*VLOOKUP(D3365,'报价表-配送'!$B$9:$I$13,3,0)*1000+IF(AND(MOD(H3365,30)&lt;0.02),H3365,0)*VLOOKUP(D3365,'报价表-配送'!$B$9:$I$13,2,0)*1000</f>
        <v>0</v>
      </c>
      <c r="N3365" s="127">
        <f t="shared" ref="N3365:N3366" si="207">SUM(I3365:L3365)</f>
        <v>0</v>
      </c>
    </row>
    <row r="3366" spans="1:14" x14ac:dyDescent="0.25">
      <c r="A3366" s="121" t="s">
        <v>83</v>
      </c>
      <c r="B3366" s="121" t="s">
        <v>177</v>
      </c>
      <c r="C3366" s="62">
        <f>VLOOKUP(B3366,合并仓明细!$D$2:$F$74,3,0)</f>
        <v>269</v>
      </c>
      <c r="D3366" s="122" t="s">
        <v>414</v>
      </c>
      <c r="E3366" s="123">
        <v>45975</v>
      </c>
      <c r="F3366" s="121" t="s">
        <v>68</v>
      </c>
      <c r="G3366" s="121">
        <v>217.442016</v>
      </c>
      <c r="H3366" s="124">
        <v>0.28879909936000003</v>
      </c>
      <c r="I3366" s="46">
        <f>ROUNDUP(H3366/30,0)*VLOOKUP(D3366,'报价表-配送'!$B$9:$I$13,8,0)</f>
        <v>0</v>
      </c>
      <c r="J3366" s="125"/>
      <c r="K3366" s="125"/>
      <c r="L3366" s="121"/>
      <c r="M3366" s="126"/>
      <c r="N3366" s="127">
        <f t="shared" si="207"/>
        <v>0</v>
      </c>
    </row>
    <row r="3367" spans="1:14" x14ac:dyDescent="0.25">
      <c r="A3367" s="121" t="s">
        <v>83</v>
      </c>
      <c r="B3367" s="121" t="s">
        <v>177</v>
      </c>
      <c r="C3367" s="62">
        <f>VLOOKUP(B3367,合并仓明细!$D$2:$F$74,3,0)</f>
        <v>269</v>
      </c>
      <c r="D3367" s="122" t="s">
        <v>414</v>
      </c>
      <c r="E3367" s="123">
        <v>45975</v>
      </c>
      <c r="F3367" s="121" t="s">
        <v>67</v>
      </c>
      <c r="G3367" s="121">
        <v>2.4800000000000004</v>
      </c>
      <c r="H3367" s="124"/>
      <c r="I3367" s="125"/>
      <c r="J3367" s="125"/>
      <c r="K3367" s="125"/>
      <c r="L3367" s="121"/>
      <c r="M3367" s="126"/>
      <c r="N3367" s="121"/>
    </row>
    <row r="3368" spans="1:14" x14ac:dyDescent="0.25">
      <c r="A3368" s="121" t="s">
        <v>83</v>
      </c>
      <c r="B3368" s="121" t="s">
        <v>177</v>
      </c>
      <c r="C3368" s="62">
        <f>VLOOKUP(B3368,合并仓明细!$D$2:$F$74,3,0)</f>
        <v>269</v>
      </c>
      <c r="D3368" s="122" t="s">
        <v>414</v>
      </c>
      <c r="E3368" s="123">
        <v>45975</v>
      </c>
      <c r="F3368" s="121" t="s">
        <v>66</v>
      </c>
      <c r="G3368" s="121">
        <v>68.87708336</v>
      </c>
      <c r="H3368" s="124"/>
      <c r="I3368" s="125"/>
      <c r="J3368" s="125"/>
      <c r="K3368" s="125"/>
      <c r="L3368" s="121"/>
      <c r="M3368" s="126"/>
      <c r="N3368" s="121"/>
    </row>
    <row r="3369" spans="1:14" x14ac:dyDescent="0.25">
      <c r="A3369" s="121" t="s">
        <v>83</v>
      </c>
      <c r="B3369" s="121" t="s">
        <v>177</v>
      </c>
      <c r="C3369" s="62">
        <f>VLOOKUP(B3369,合并仓明细!$D$2:$F$74,3,0)</f>
        <v>269</v>
      </c>
      <c r="D3369" s="122" t="s">
        <v>414</v>
      </c>
      <c r="E3369" s="123">
        <v>46041</v>
      </c>
      <c r="F3369" s="121" t="s">
        <v>66</v>
      </c>
      <c r="G3369" s="121">
        <v>146.62999995000001</v>
      </c>
      <c r="H3369" s="124">
        <v>0.14662999995000001</v>
      </c>
      <c r="I3369" s="125"/>
      <c r="J3369" s="125"/>
      <c r="K3369" s="125"/>
      <c r="L3369" s="37">
        <f>IF(H3369&gt;30,QUOTIENT(H3369,30)*VLOOKUP(D3369,'报价表-配送'!$B$9:$I$13,8,0),0)+IF(AND(MOD(H3369,30)&gt;18,MOD(H3369,30)&lt;=30),1,0)*VLOOKUP(D3369,'报价表-配送'!$B$9:$I$13,8,0)+IF(AND(MOD(H3369,30)&gt;8,MOD(H3369,30)&lt;=18),1*VLOOKUP(D3369,'报价表-配送'!$B$9:$I$13,7,0),0)+IF(AND(MOD(H3369,30)&lt;=8,MOD(H3369,30)&gt;2.5),1,0)*VLOOKUP(D3369,'报价表-配送'!$B$9:$I$13,6,0)+IF(AND(MOD(H3369,30)&lt;=2.5,MOD(H3369,30)&gt;=1.5),1,0)*VLOOKUP(D3369,'报价表-配送'!$B$9:$I$13,5,0)</f>
        <v>0</v>
      </c>
      <c r="M3369" s="39">
        <f>IF(AND(MOD(H3369,30)&lt;1.5,MOD(H3369,30)&gt;=0.5),H3369,0)*VLOOKUP(D3369,'报价表-配送'!$B$9:$I$13,4,0)*1000+IF(AND(MOD(H3369,30)&lt;0.5,MOD(H3369,30)&gt;=0.02),H3369,0)*VLOOKUP(D3369,'报价表-配送'!$B$9:$I$13,3,0)*1000+IF(AND(MOD(H3369,30)&lt;0.02),H3369,0)*VLOOKUP(D3369,'报价表-配送'!$B$9:$I$13,2,0)*1000</f>
        <v>0</v>
      </c>
      <c r="N3369" s="127">
        <f t="shared" ref="N3369:N3370" si="208">SUM(I3369:L3369)</f>
        <v>0</v>
      </c>
    </row>
    <row r="3370" spans="1:14" x14ac:dyDescent="0.25">
      <c r="A3370" s="121" t="s">
        <v>83</v>
      </c>
      <c r="B3370" s="121" t="s">
        <v>177</v>
      </c>
      <c r="C3370" s="62">
        <f>VLOOKUP(B3370,合并仓明细!$D$2:$F$74,3,0)</f>
        <v>269</v>
      </c>
      <c r="D3370" s="122" t="s">
        <v>414</v>
      </c>
      <c r="E3370" s="123">
        <v>46105</v>
      </c>
      <c r="F3370" s="121" t="s">
        <v>68</v>
      </c>
      <c r="G3370" s="121">
        <v>7500.3060459999997</v>
      </c>
      <c r="H3370" s="124">
        <v>40.394284813420001</v>
      </c>
      <c r="I3370" s="46">
        <f>ROUNDUP(H3370/30,0)*VLOOKUP(D3370,'报价表-配送'!$B$9:$I$13,8,0)</f>
        <v>0</v>
      </c>
      <c r="J3370" s="125"/>
      <c r="K3370" s="125"/>
      <c r="L3370" s="121"/>
      <c r="M3370" s="126"/>
      <c r="N3370" s="127">
        <f t="shared" si="208"/>
        <v>0</v>
      </c>
    </row>
    <row r="3371" spans="1:14" x14ac:dyDescent="0.25">
      <c r="A3371" s="121" t="s">
        <v>83</v>
      </c>
      <c r="B3371" s="121" t="s">
        <v>177</v>
      </c>
      <c r="C3371" s="62">
        <f>VLOOKUP(B3371,合并仓明细!$D$2:$F$74,3,0)</f>
        <v>269</v>
      </c>
      <c r="D3371" s="122" t="s">
        <v>414</v>
      </c>
      <c r="E3371" s="123">
        <v>46105</v>
      </c>
      <c r="F3371" s="121" t="s">
        <v>67</v>
      </c>
      <c r="G3371" s="121">
        <v>25790.444184279997</v>
      </c>
      <c r="H3371" s="124"/>
      <c r="I3371" s="125"/>
      <c r="J3371" s="125"/>
      <c r="K3371" s="125"/>
      <c r="L3371" s="121"/>
      <c r="M3371" s="126"/>
      <c r="N3371" s="121"/>
    </row>
    <row r="3372" spans="1:14" x14ac:dyDescent="0.25">
      <c r="A3372" s="121" t="s">
        <v>83</v>
      </c>
      <c r="B3372" s="121" t="s">
        <v>177</v>
      </c>
      <c r="C3372" s="62">
        <f>VLOOKUP(B3372,合并仓明细!$D$2:$F$74,3,0)</f>
        <v>269</v>
      </c>
      <c r="D3372" s="122" t="s">
        <v>414</v>
      </c>
      <c r="E3372" s="123">
        <v>46105</v>
      </c>
      <c r="F3372" s="121" t="s">
        <v>66</v>
      </c>
      <c r="G3372" s="121">
        <v>7103.5345831400009</v>
      </c>
      <c r="H3372" s="124"/>
      <c r="I3372" s="125"/>
      <c r="J3372" s="125"/>
      <c r="K3372" s="125"/>
      <c r="L3372" s="121"/>
      <c r="M3372" s="126"/>
      <c r="N3372" s="121"/>
    </row>
    <row r="3373" spans="1:14" x14ac:dyDescent="0.25">
      <c r="A3373" s="121" t="s">
        <v>83</v>
      </c>
      <c r="B3373" s="121" t="s">
        <v>177</v>
      </c>
      <c r="C3373" s="62">
        <f>VLOOKUP(B3373,合并仓明细!$D$2:$F$74,3,0)</f>
        <v>269</v>
      </c>
      <c r="D3373" s="122" t="s">
        <v>414</v>
      </c>
      <c r="E3373" s="123">
        <v>46107</v>
      </c>
      <c r="F3373" s="121" t="s">
        <v>68</v>
      </c>
      <c r="G3373" s="121">
        <v>5064.6555599999992</v>
      </c>
      <c r="H3373" s="124">
        <v>22.465616307539996</v>
      </c>
      <c r="I3373" s="46">
        <f>ROUNDUP(H3373/30,0)*VLOOKUP(D3373,'报价表-配送'!$B$9:$I$13,8,0)</f>
        <v>0</v>
      </c>
      <c r="J3373" s="125"/>
      <c r="K3373" s="125"/>
      <c r="L3373" s="121"/>
      <c r="M3373" s="126"/>
      <c r="N3373" s="127">
        <f t="shared" ref="N3373" si="209">SUM(I3373:L3373)</f>
        <v>0</v>
      </c>
    </row>
    <row r="3374" spans="1:14" x14ac:dyDescent="0.25">
      <c r="A3374" s="121" t="s">
        <v>83</v>
      </c>
      <c r="B3374" s="121" t="s">
        <v>177</v>
      </c>
      <c r="C3374" s="62">
        <f>VLOOKUP(B3374,合并仓明细!$D$2:$F$74,3,0)</f>
        <v>269</v>
      </c>
      <c r="D3374" s="122" t="s">
        <v>414</v>
      </c>
      <c r="E3374" s="123">
        <v>46107</v>
      </c>
      <c r="F3374" s="121" t="s">
        <v>67</v>
      </c>
      <c r="G3374" s="121">
        <v>15481.16146166</v>
      </c>
      <c r="H3374" s="124"/>
      <c r="I3374" s="125"/>
      <c r="J3374" s="125"/>
      <c r="K3374" s="125"/>
      <c r="L3374" s="121"/>
      <c r="M3374" s="126"/>
      <c r="N3374" s="121"/>
    </row>
    <row r="3375" spans="1:14" x14ac:dyDescent="0.25">
      <c r="A3375" s="121" t="s">
        <v>83</v>
      </c>
      <c r="B3375" s="121" t="s">
        <v>177</v>
      </c>
      <c r="C3375" s="62">
        <f>VLOOKUP(B3375,合并仓明细!$D$2:$F$74,3,0)</f>
        <v>269</v>
      </c>
      <c r="D3375" s="122" t="s">
        <v>414</v>
      </c>
      <c r="E3375" s="123">
        <v>46107</v>
      </c>
      <c r="F3375" s="121" t="s">
        <v>66</v>
      </c>
      <c r="G3375" s="121">
        <v>1919.7992858800008</v>
      </c>
      <c r="H3375" s="124"/>
      <c r="I3375" s="125"/>
      <c r="J3375" s="125"/>
      <c r="K3375" s="125"/>
      <c r="L3375" s="121"/>
      <c r="M3375" s="126"/>
      <c r="N3375" s="121"/>
    </row>
    <row r="3376" spans="1:14" x14ac:dyDescent="0.25">
      <c r="A3376" s="121" t="s">
        <v>83</v>
      </c>
      <c r="B3376" s="121" t="s">
        <v>177</v>
      </c>
      <c r="C3376" s="62">
        <f>VLOOKUP(B3376,合并仓明细!$D$2:$F$74,3,0)</f>
        <v>269</v>
      </c>
      <c r="D3376" s="122" t="s">
        <v>414</v>
      </c>
      <c r="E3376" s="123">
        <v>46111</v>
      </c>
      <c r="F3376" s="121" t="s">
        <v>68</v>
      </c>
      <c r="G3376" s="121">
        <v>15383.27</v>
      </c>
      <c r="H3376" s="124">
        <v>15.38327</v>
      </c>
      <c r="I3376" s="46">
        <f>ROUNDUP(H3376/30,0)*VLOOKUP(D3376,'报价表-配送'!$B$9:$I$13,8,0)</f>
        <v>0</v>
      </c>
      <c r="J3376" s="125"/>
      <c r="K3376" s="125"/>
      <c r="L3376" s="121"/>
      <c r="M3376" s="126"/>
      <c r="N3376" s="127">
        <f t="shared" ref="N3376:N3378" si="210">SUM(I3376:L3376)</f>
        <v>0</v>
      </c>
    </row>
    <row r="3377" spans="1:14" x14ac:dyDescent="0.25">
      <c r="A3377" s="121" t="s">
        <v>83</v>
      </c>
      <c r="B3377" s="121" t="s">
        <v>176</v>
      </c>
      <c r="C3377" s="62">
        <f>VLOOKUP(B3377,合并仓明细!$D$2:$F$74,3,0)</f>
        <v>116</v>
      </c>
      <c r="D3377" s="122" t="s">
        <v>413</v>
      </c>
      <c r="E3377" s="123">
        <v>45943</v>
      </c>
      <c r="F3377" s="121" t="s">
        <v>66</v>
      </c>
      <c r="G3377" s="121">
        <v>16</v>
      </c>
      <c r="H3377" s="124">
        <v>1.6E-2</v>
      </c>
      <c r="I3377" s="125"/>
      <c r="J3377" s="125"/>
      <c r="K3377" s="125"/>
      <c r="L3377" s="37">
        <f>IF(H3377&gt;30,QUOTIENT(H3377,30)*VLOOKUP(D3377,'报价表-配送'!$B$9:$I$13,8,0),0)+IF(AND(MOD(H3377,30)&gt;18,MOD(H3377,30)&lt;=30),1,0)*VLOOKUP(D3377,'报价表-配送'!$B$9:$I$13,8,0)+IF(AND(MOD(H3377,30)&gt;8,MOD(H3377,30)&lt;=18),1*VLOOKUP(D3377,'报价表-配送'!$B$9:$I$13,7,0),0)+IF(AND(MOD(H3377,30)&lt;=8,MOD(H3377,30)&gt;2.5),1,0)*VLOOKUP(D3377,'报价表-配送'!$B$9:$I$13,6,0)+IF(AND(MOD(H3377,30)&lt;=2.5,MOD(H3377,30)&gt;=1.5),1,0)*VLOOKUP(D3377,'报价表-配送'!$B$9:$I$13,5,0)</f>
        <v>0</v>
      </c>
      <c r="M3377" s="39">
        <f>IF(AND(MOD(H3377,30)&lt;1.5,MOD(H3377,30)&gt;=0.5),H3377,0)*VLOOKUP(D3377,'报价表-配送'!$B$9:$I$13,4,0)*1000+IF(AND(MOD(H3377,30)&lt;0.5,MOD(H3377,30)&gt;=0.02),H3377,0)*VLOOKUP(D3377,'报价表-配送'!$B$9:$I$13,3,0)*1000+IF(AND(MOD(H3377,30)&lt;0.02),H3377,0)*VLOOKUP(D3377,'报价表-配送'!$B$9:$I$13,2,0)*1000</f>
        <v>0</v>
      </c>
      <c r="N3377" s="127">
        <f t="shared" si="210"/>
        <v>0</v>
      </c>
    </row>
    <row r="3378" spans="1:14" x14ac:dyDescent="0.25">
      <c r="A3378" s="121" t="s">
        <v>83</v>
      </c>
      <c r="B3378" s="121" t="s">
        <v>176</v>
      </c>
      <c r="C3378" s="62">
        <f>VLOOKUP(B3378,合并仓明细!$D$2:$F$74,3,0)</f>
        <v>116</v>
      </c>
      <c r="D3378" s="122" t="s">
        <v>413</v>
      </c>
      <c r="E3378" s="123">
        <v>45952</v>
      </c>
      <c r="F3378" s="121" t="s">
        <v>68</v>
      </c>
      <c r="G3378" s="121">
        <v>40.443019999999997</v>
      </c>
      <c r="H3378" s="124">
        <v>0.83761158718000006</v>
      </c>
      <c r="I3378" s="46">
        <f>ROUNDUP(H3378/30,0)*VLOOKUP(D3378,'报价表-配送'!$B$9:$I$13,8,0)</f>
        <v>0</v>
      </c>
      <c r="J3378" s="125"/>
      <c r="K3378" s="125"/>
      <c r="L3378" s="121"/>
      <c r="M3378" s="126"/>
      <c r="N3378" s="127">
        <f t="shared" si="210"/>
        <v>0</v>
      </c>
    </row>
    <row r="3379" spans="1:14" x14ac:dyDescent="0.25">
      <c r="A3379" s="121" t="s">
        <v>83</v>
      </c>
      <c r="B3379" s="121" t="s">
        <v>176</v>
      </c>
      <c r="C3379" s="62">
        <f>VLOOKUP(B3379,合并仓明细!$D$2:$F$74,3,0)</f>
        <v>116</v>
      </c>
      <c r="D3379" s="122" t="s">
        <v>413</v>
      </c>
      <c r="E3379" s="123">
        <v>45952</v>
      </c>
      <c r="F3379" s="121" t="s">
        <v>67</v>
      </c>
      <c r="G3379" s="121">
        <v>602.29287051000006</v>
      </c>
      <c r="H3379" s="124"/>
      <c r="I3379" s="125"/>
      <c r="J3379" s="125"/>
      <c r="K3379" s="125"/>
      <c r="L3379" s="121"/>
      <c r="M3379" s="126"/>
      <c r="N3379" s="121"/>
    </row>
    <row r="3380" spans="1:14" x14ac:dyDescent="0.25">
      <c r="A3380" s="121" t="s">
        <v>83</v>
      </c>
      <c r="B3380" s="121" t="s">
        <v>176</v>
      </c>
      <c r="C3380" s="62">
        <f>VLOOKUP(B3380,合并仓明细!$D$2:$F$74,3,0)</f>
        <v>116</v>
      </c>
      <c r="D3380" s="122" t="s">
        <v>413</v>
      </c>
      <c r="E3380" s="123">
        <v>45952</v>
      </c>
      <c r="F3380" s="121" t="s">
        <v>66</v>
      </c>
      <c r="G3380" s="121">
        <v>194.87569666999994</v>
      </c>
      <c r="H3380" s="124"/>
      <c r="I3380" s="125"/>
      <c r="J3380" s="125"/>
      <c r="K3380" s="125"/>
      <c r="L3380" s="121"/>
      <c r="M3380" s="126"/>
      <c r="N3380" s="121"/>
    </row>
    <row r="3381" spans="1:14" x14ac:dyDescent="0.25">
      <c r="A3381" s="121" t="s">
        <v>83</v>
      </c>
      <c r="B3381" s="121" t="s">
        <v>176</v>
      </c>
      <c r="C3381" s="62">
        <f>VLOOKUP(B3381,合并仓明细!$D$2:$F$74,3,0)</f>
        <v>116</v>
      </c>
      <c r="D3381" s="122" t="s">
        <v>413</v>
      </c>
      <c r="E3381" s="123">
        <v>45966</v>
      </c>
      <c r="F3381" s="121" t="s">
        <v>66</v>
      </c>
      <c r="G3381" s="121">
        <v>3</v>
      </c>
      <c r="H3381" s="124">
        <v>3.0000000000000001E-3</v>
      </c>
      <c r="I3381" s="125"/>
      <c r="J3381" s="125"/>
      <c r="K3381" s="125"/>
      <c r="L3381" s="37">
        <f>IF(H3381&gt;30,QUOTIENT(H3381,30)*VLOOKUP(D3381,'报价表-配送'!$B$9:$I$13,8,0),0)+IF(AND(MOD(H3381,30)&gt;18,MOD(H3381,30)&lt;=30),1,0)*VLOOKUP(D3381,'报价表-配送'!$B$9:$I$13,8,0)+IF(AND(MOD(H3381,30)&gt;8,MOD(H3381,30)&lt;=18),1*VLOOKUP(D3381,'报价表-配送'!$B$9:$I$13,7,0),0)+IF(AND(MOD(H3381,30)&lt;=8,MOD(H3381,30)&gt;2.5),1,0)*VLOOKUP(D3381,'报价表-配送'!$B$9:$I$13,6,0)+IF(AND(MOD(H3381,30)&lt;=2.5,MOD(H3381,30)&gt;=1.5),1,0)*VLOOKUP(D3381,'报价表-配送'!$B$9:$I$13,5,0)</f>
        <v>0</v>
      </c>
      <c r="M3381" s="39">
        <f>IF(AND(MOD(H3381,30)&lt;1.5,MOD(H3381,30)&gt;=0.5),H3381,0)*VLOOKUP(D3381,'报价表-配送'!$B$9:$I$13,4,0)*1000+IF(AND(MOD(H3381,30)&lt;0.5,MOD(H3381,30)&gt;=0.02),H3381,0)*VLOOKUP(D3381,'报价表-配送'!$B$9:$I$13,3,0)*1000+IF(AND(MOD(H3381,30)&lt;0.02),H3381,0)*VLOOKUP(D3381,'报价表-配送'!$B$9:$I$13,2,0)*1000</f>
        <v>0</v>
      </c>
      <c r="N3381" s="127">
        <f t="shared" ref="N3381:N3382" si="211">SUM(I3381:L3381)</f>
        <v>0</v>
      </c>
    </row>
    <row r="3382" spans="1:14" x14ac:dyDescent="0.25">
      <c r="A3382" s="121" t="s">
        <v>83</v>
      </c>
      <c r="B3382" s="121" t="s">
        <v>176</v>
      </c>
      <c r="C3382" s="62">
        <f>VLOOKUP(B3382,合并仓明细!$D$2:$F$74,3,0)</f>
        <v>116</v>
      </c>
      <c r="D3382" s="122" t="s">
        <v>413</v>
      </c>
      <c r="E3382" s="123">
        <v>45973</v>
      </c>
      <c r="F3382" s="121" t="s">
        <v>68</v>
      </c>
      <c r="G3382" s="121">
        <v>1527.1919440000001</v>
      </c>
      <c r="H3382" s="124">
        <v>5.0392233532999997</v>
      </c>
      <c r="I3382" s="46">
        <f>ROUNDUP(H3382/30,0)*VLOOKUP(D3382,'报价表-配送'!$B$9:$I$13,8,0)</f>
        <v>0</v>
      </c>
      <c r="J3382" s="125"/>
      <c r="K3382" s="125"/>
      <c r="L3382" s="121"/>
      <c r="M3382" s="126"/>
      <c r="N3382" s="127">
        <f t="shared" si="211"/>
        <v>0</v>
      </c>
    </row>
    <row r="3383" spans="1:14" x14ac:dyDescent="0.25">
      <c r="A3383" s="121" t="s">
        <v>83</v>
      </c>
      <c r="B3383" s="121" t="s">
        <v>176</v>
      </c>
      <c r="C3383" s="62">
        <f>VLOOKUP(B3383,合并仓明细!$D$2:$F$74,3,0)</f>
        <v>116</v>
      </c>
      <c r="D3383" s="122" t="s">
        <v>413</v>
      </c>
      <c r="E3383" s="123">
        <v>45973</v>
      </c>
      <c r="F3383" s="121" t="s">
        <v>67</v>
      </c>
      <c r="G3383" s="121">
        <v>1740.4237500000002</v>
      </c>
      <c r="H3383" s="124"/>
      <c r="I3383" s="125"/>
      <c r="J3383" s="125"/>
      <c r="K3383" s="125"/>
      <c r="L3383" s="121"/>
      <c r="M3383" s="126"/>
      <c r="N3383" s="121"/>
    </row>
    <row r="3384" spans="1:14" x14ac:dyDescent="0.25">
      <c r="A3384" s="121" t="s">
        <v>83</v>
      </c>
      <c r="B3384" s="121" t="s">
        <v>176</v>
      </c>
      <c r="C3384" s="62">
        <f>VLOOKUP(B3384,合并仓明细!$D$2:$F$74,3,0)</f>
        <v>116</v>
      </c>
      <c r="D3384" s="122" t="s">
        <v>413</v>
      </c>
      <c r="E3384" s="123">
        <v>45973</v>
      </c>
      <c r="F3384" s="121" t="s">
        <v>66</v>
      </c>
      <c r="G3384" s="121">
        <v>1771.6076592999993</v>
      </c>
      <c r="H3384" s="124"/>
      <c r="I3384" s="125"/>
      <c r="J3384" s="125"/>
      <c r="K3384" s="125"/>
      <c r="L3384" s="121"/>
      <c r="M3384" s="126"/>
      <c r="N3384" s="121"/>
    </row>
    <row r="3385" spans="1:14" x14ac:dyDescent="0.25">
      <c r="A3385" s="121" t="s">
        <v>83</v>
      </c>
      <c r="B3385" s="121" t="s">
        <v>176</v>
      </c>
      <c r="C3385" s="62">
        <f>VLOOKUP(B3385,合并仓明细!$D$2:$F$74,3,0)</f>
        <v>116</v>
      </c>
      <c r="D3385" s="122" t="s">
        <v>413</v>
      </c>
      <c r="E3385" s="123">
        <v>45976</v>
      </c>
      <c r="F3385" s="121" t="s">
        <v>68</v>
      </c>
      <c r="G3385" s="121">
        <v>1085.0508</v>
      </c>
      <c r="H3385" s="124">
        <v>4.5717873999999989</v>
      </c>
      <c r="I3385" s="46">
        <f>ROUNDUP(H3385/30,0)*VLOOKUP(D3385,'报价表-配送'!$B$9:$I$13,8,0)</f>
        <v>0</v>
      </c>
      <c r="J3385" s="125"/>
      <c r="K3385" s="125"/>
      <c r="L3385" s="121"/>
      <c r="M3385" s="126"/>
      <c r="N3385" s="127">
        <f t="shared" ref="N3385" si="212">SUM(I3385:L3385)</f>
        <v>0</v>
      </c>
    </row>
    <row r="3386" spans="1:14" x14ac:dyDescent="0.25">
      <c r="A3386" s="121" t="s">
        <v>83</v>
      </c>
      <c r="B3386" s="121" t="s">
        <v>176</v>
      </c>
      <c r="C3386" s="62">
        <f>VLOOKUP(B3386,合并仓明细!$D$2:$F$74,3,0)</f>
        <v>116</v>
      </c>
      <c r="D3386" s="122" t="s">
        <v>413</v>
      </c>
      <c r="E3386" s="123">
        <v>45976</v>
      </c>
      <c r="F3386" s="121" t="s">
        <v>67</v>
      </c>
      <c r="G3386" s="121">
        <v>1551.3849333999999</v>
      </c>
      <c r="H3386" s="124"/>
      <c r="I3386" s="125"/>
      <c r="J3386" s="125"/>
      <c r="K3386" s="125"/>
      <c r="L3386" s="121"/>
      <c r="M3386" s="126"/>
      <c r="N3386" s="121"/>
    </row>
    <row r="3387" spans="1:14" x14ac:dyDescent="0.25">
      <c r="A3387" s="121" t="s">
        <v>83</v>
      </c>
      <c r="B3387" s="121" t="s">
        <v>176</v>
      </c>
      <c r="C3387" s="62">
        <f>VLOOKUP(B3387,合并仓明细!$D$2:$F$74,3,0)</f>
        <v>116</v>
      </c>
      <c r="D3387" s="122" t="s">
        <v>413</v>
      </c>
      <c r="E3387" s="123">
        <v>45976</v>
      </c>
      <c r="F3387" s="121" t="s">
        <v>66</v>
      </c>
      <c r="G3387" s="121">
        <v>1935.3516665999996</v>
      </c>
      <c r="H3387" s="124"/>
      <c r="I3387" s="125"/>
      <c r="J3387" s="125"/>
      <c r="K3387" s="125"/>
      <c r="L3387" s="121"/>
      <c r="M3387" s="126"/>
      <c r="N3387" s="121"/>
    </row>
    <row r="3388" spans="1:14" x14ac:dyDescent="0.25">
      <c r="A3388" s="121" t="s">
        <v>83</v>
      </c>
      <c r="B3388" s="121" t="s">
        <v>176</v>
      </c>
      <c r="C3388" s="62">
        <f>VLOOKUP(B3388,合并仓明细!$D$2:$F$74,3,0)</f>
        <v>116</v>
      </c>
      <c r="D3388" s="122" t="s">
        <v>413</v>
      </c>
      <c r="E3388" s="123">
        <v>45980</v>
      </c>
      <c r="F3388" s="121" t="s">
        <v>68</v>
      </c>
      <c r="G3388" s="121">
        <v>452.84399999999999</v>
      </c>
      <c r="H3388" s="124">
        <v>1.1713561099999998</v>
      </c>
      <c r="I3388" s="46">
        <f>ROUNDUP(H3388/30,0)*VLOOKUP(D3388,'报价表-配送'!$B$9:$I$13,8,0)</f>
        <v>0</v>
      </c>
      <c r="J3388" s="125"/>
      <c r="K3388" s="125"/>
      <c r="L3388" s="121"/>
      <c r="M3388" s="126"/>
      <c r="N3388" s="127">
        <f t="shared" ref="N3388" si="213">SUM(I3388:L3388)</f>
        <v>0</v>
      </c>
    </row>
    <row r="3389" spans="1:14" x14ac:dyDescent="0.25">
      <c r="A3389" s="121" t="s">
        <v>83</v>
      </c>
      <c r="B3389" s="121" t="s">
        <v>176</v>
      </c>
      <c r="C3389" s="62">
        <f>VLOOKUP(B3389,合并仓明细!$D$2:$F$74,3,0)</f>
        <v>116</v>
      </c>
      <c r="D3389" s="122" t="s">
        <v>413</v>
      </c>
      <c r="E3389" s="123">
        <v>45980</v>
      </c>
      <c r="F3389" s="121" t="s">
        <v>67</v>
      </c>
      <c r="G3389" s="121">
        <v>483.21210999999994</v>
      </c>
      <c r="H3389" s="124"/>
      <c r="I3389" s="125"/>
      <c r="J3389" s="125"/>
      <c r="K3389" s="125"/>
      <c r="L3389" s="121"/>
      <c r="M3389" s="126"/>
      <c r="N3389" s="121"/>
    </row>
    <row r="3390" spans="1:14" x14ac:dyDescent="0.25">
      <c r="A3390" s="121" t="s">
        <v>83</v>
      </c>
      <c r="B3390" s="121" t="s">
        <v>176</v>
      </c>
      <c r="C3390" s="62">
        <f>VLOOKUP(B3390,合并仓明细!$D$2:$F$74,3,0)</f>
        <v>116</v>
      </c>
      <c r="D3390" s="122" t="s">
        <v>413</v>
      </c>
      <c r="E3390" s="123">
        <v>45980</v>
      </c>
      <c r="F3390" s="121" t="s">
        <v>66</v>
      </c>
      <c r="G3390" s="121">
        <v>235.29999999999995</v>
      </c>
      <c r="H3390" s="124"/>
      <c r="I3390" s="125"/>
      <c r="J3390" s="125"/>
      <c r="K3390" s="125"/>
      <c r="L3390" s="121"/>
      <c r="M3390" s="126"/>
      <c r="N3390" s="121"/>
    </row>
    <row r="3391" spans="1:14" x14ac:dyDescent="0.25">
      <c r="A3391" s="121" t="s">
        <v>83</v>
      </c>
      <c r="B3391" s="121" t="s">
        <v>176</v>
      </c>
      <c r="C3391" s="62">
        <f>VLOOKUP(B3391,合并仓明细!$D$2:$F$74,3,0)</f>
        <v>116</v>
      </c>
      <c r="D3391" s="122" t="s">
        <v>413</v>
      </c>
      <c r="E3391" s="123">
        <v>45985</v>
      </c>
      <c r="F3391" s="121" t="s">
        <v>68</v>
      </c>
      <c r="G3391" s="121">
        <v>97.432060000000007</v>
      </c>
      <c r="H3391" s="124">
        <v>0.42531577667999998</v>
      </c>
      <c r="I3391" s="46">
        <f>ROUNDUP(H3391/30,0)*VLOOKUP(D3391,'报价表-配送'!$B$9:$I$13,8,0)</f>
        <v>0</v>
      </c>
      <c r="J3391" s="125"/>
      <c r="K3391" s="125"/>
      <c r="L3391" s="121"/>
      <c r="M3391" s="126"/>
      <c r="N3391" s="127">
        <f t="shared" ref="N3391" si="214">SUM(I3391:L3391)</f>
        <v>0</v>
      </c>
    </row>
    <row r="3392" spans="1:14" x14ac:dyDescent="0.25">
      <c r="A3392" s="121" t="s">
        <v>83</v>
      </c>
      <c r="B3392" s="121" t="s">
        <v>176</v>
      </c>
      <c r="C3392" s="62">
        <f>VLOOKUP(B3392,合并仓明细!$D$2:$F$74,3,0)</f>
        <v>116</v>
      </c>
      <c r="D3392" s="122" t="s">
        <v>413</v>
      </c>
      <c r="E3392" s="123">
        <v>45985</v>
      </c>
      <c r="F3392" s="121" t="s">
        <v>67</v>
      </c>
      <c r="G3392" s="121">
        <v>249.48554999999999</v>
      </c>
      <c r="H3392" s="124"/>
      <c r="I3392" s="125"/>
      <c r="J3392" s="125"/>
      <c r="K3392" s="125"/>
      <c r="L3392" s="121"/>
      <c r="M3392" s="126"/>
      <c r="N3392" s="121"/>
    </row>
    <row r="3393" spans="1:14" x14ac:dyDescent="0.25">
      <c r="A3393" s="121" t="s">
        <v>83</v>
      </c>
      <c r="B3393" s="121" t="s">
        <v>176</v>
      </c>
      <c r="C3393" s="62">
        <f>VLOOKUP(B3393,合并仓明细!$D$2:$F$74,3,0)</f>
        <v>116</v>
      </c>
      <c r="D3393" s="122" t="s">
        <v>413</v>
      </c>
      <c r="E3393" s="123">
        <v>45985</v>
      </c>
      <c r="F3393" s="121" t="s">
        <v>66</v>
      </c>
      <c r="G3393" s="121">
        <v>78.398166680000003</v>
      </c>
      <c r="H3393" s="124"/>
      <c r="I3393" s="125"/>
      <c r="J3393" s="125"/>
      <c r="K3393" s="125"/>
      <c r="L3393" s="121"/>
      <c r="M3393" s="126"/>
      <c r="N3393" s="121"/>
    </row>
    <row r="3394" spans="1:14" x14ac:dyDescent="0.25">
      <c r="A3394" s="121" t="s">
        <v>83</v>
      </c>
      <c r="B3394" s="121" t="s">
        <v>176</v>
      </c>
      <c r="C3394" s="62">
        <f>VLOOKUP(B3394,合并仓明细!$D$2:$F$74,3,0)</f>
        <v>116</v>
      </c>
      <c r="D3394" s="122" t="s">
        <v>413</v>
      </c>
      <c r="E3394" s="123">
        <v>45986</v>
      </c>
      <c r="F3394" s="121" t="s">
        <v>67</v>
      </c>
      <c r="G3394" s="121">
        <v>277.31612000000001</v>
      </c>
      <c r="H3394" s="124">
        <v>0.51243778668000006</v>
      </c>
      <c r="I3394" s="38">
        <f>IF(H3394&gt;30,QUOTIENT(H3394,30)*VLOOKUP(D3394,'报价表-配送'!$B$9:$I$13,8,0),0)+IF(AND(MOD(H3394,30)&gt;18,MOD(H3394,30)&lt;=30),1,0)*VLOOKUP(D3394,'报价表-配送'!$B$9:$I$13,8,0)</f>
        <v>0</v>
      </c>
      <c r="J3394" s="38">
        <f>IF(AND(MOD(H3394,30)&gt;8,MOD(H3394,30)&lt;=18),1*VLOOKUP(D3394,'报价表-配送'!$B$9:$I$13,7,0),0)</f>
        <v>0</v>
      </c>
      <c r="K3394" s="38">
        <f>IF(AND(MOD(H3394,30)&lt;=8,MOD(H3394,30)&gt;0),1,0)*VLOOKUP(D3394,'报价表-配送'!$B$9:$I$13,6,0)</f>
        <v>0</v>
      </c>
      <c r="L3394" s="121"/>
      <c r="M3394" s="126"/>
      <c r="N3394" s="127">
        <f t="shared" ref="N3394" si="215">SUM(I3394:L3394)</f>
        <v>0</v>
      </c>
    </row>
    <row r="3395" spans="1:14" x14ac:dyDescent="0.25">
      <c r="A3395" s="121" t="s">
        <v>83</v>
      </c>
      <c r="B3395" s="121" t="s">
        <v>176</v>
      </c>
      <c r="C3395" s="62">
        <f>VLOOKUP(B3395,合并仓明细!$D$2:$F$74,3,0)</f>
        <v>116</v>
      </c>
      <c r="D3395" s="122" t="s">
        <v>413</v>
      </c>
      <c r="E3395" s="123">
        <v>45986</v>
      </c>
      <c r="F3395" s="121" t="s">
        <v>66</v>
      </c>
      <c r="G3395" s="121">
        <v>235.12166667999998</v>
      </c>
      <c r="H3395" s="124"/>
      <c r="I3395" s="125"/>
      <c r="J3395" s="125"/>
      <c r="K3395" s="125"/>
      <c r="L3395" s="121"/>
      <c r="M3395" s="126"/>
      <c r="N3395" s="121"/>
    </row>
    <row r="3396" spans="1:14" x14ac:dyDescent="0.25">
      <c r="A3396" s="121" t="s">
        <v>83</v>
      </c>
      <c r="B3396" s="121" t="s">
        <v>176</v>
      </c>
      <c r="C3396" s="62">
        <f>VLOOKUP(B3396,合并仓明细!$D$2:$F$74,3,0)</f>
        <v>116</v>
      </c>
      <c r="D3396" s="122" t="s">
        <v>413</v>
      </c>
      <c r="E3396" s="123">
        <v>45988</v>
      </c>
      <c r="F3396" s="121" t="s">
        <v>67</v>
      </c>
      <c r="G3396" s="121">
        <v>206.4708</v>
      </c>
      <c r="H3396" s="124">
        <v>0.24224663336999999</v>
      </c>
      <c r="I3396" s="38">
        <f>IF(H3396&gt;30,QUOTIENT(H3396,30)*VLOOKUP(D3396,'报价表-配送'!$B$9:$I$13,8,0),0)+IF(AND(MOD(H3396,30)&gt;18,MOD(H3396,30)&lt;=30),1,0)*VLOOKUP(D3396,'报价表-配送'!$B$9:$I$13,8,0)</f>
        <v>0</v>
      </c>
      <c r="J3396" s="38">
        <f>IF(AND(MOD(H3396,30)&gt;8,MOD(H3396,30)&lt;=18),1*VLOOKUP(D3396,'报价表-配送'!$B$9:$I$13,7,0),0)</f>
        <v>0</v>
      </c>
      <c r="K3396" s="38">
        <f>IF(AND(MOD(H3396,30)&lt;=8,MOD(H3396,30)&gt;0),1,0)*VLOOKUP(D3396,'报价表-配送'!$B$9:$I$13,6,0)</f>
        <v>0</v>
      </c>
      <c r="L3396" s="121"/>
      <c r="M3396" s="126"/>
      <c r="N3396" s="127">
        <f t="shared" ref="N3396" si="216">SUM(I3396:L3396)</f>
        <v>0</v>
      </c>
    </row>
    <row r="3397" spans="1:14" x14ac:dyDescent="0.25">
      <c r="A3397" s="121" t="s">
        <v>83</v>
      </c>
      <c r="B3397" s="121" t="s">
        <v>176</v>
      </c>
      <c r="C3397" s="62">
        <f>VLOOKUP(B3397,合并仓明细!$D$2:$F$74,3,0)</f>
        <v>116</v>
      </c>
      <c r="D3397" s="122" t="s">
        <v>413</v>
      </c>
      <c r="E3397" s="123">
        <v>45988</v>
      </c>
      <c r="F3397" s="121" t="s">
        <v>66</v>
      </c>
      <c r="G3397" s="121">
        <v>35.775833370000001</v>
      </c>
      <c r="H3397" s="124"/>
      <c r="I3397" s="125"/>
      <c r="J3397" s="125"/>
      <c r="K3397" s="125"/>
      <c r="L3397" s="121"/>
      <c r="M3397" s="126"/>
      <c r="N3397" s="121"/>
    </row>
    <row r="3398" spans="1:14" x14ac:dyDescent="0.25">
      <c r="A3398" s="121" t="s">
        <v>83</v>
      </c>
      <c r="B3398" s="121" t="s">
        <v>176</v>
      </c>
      <c r="C3398" s="62">
        <f>VLOOKUP(B3398,合并仓明细!$D$2:$F$74,3,0)</f>
        <v>116</v>
      </c>
      <c r="D3398" s="122" t="s">
        <v>413</v>
      </c>
      <c r="E3398" s="123">
        <v>46002</v>
      </c>
      <c r="F3398" s="121" t="s">
        <v>67</v>
      </c>
      <c r="G3398" s="121">
        <v>628.2527495999999</v>
      </c>
      <c r="H3398" s="124">
        <v>0.67374274959999991</v>
      </c>
      <c r="I3398" s="38">
        <f>IF(H3398&gt;30,QUOTIENT(H3398,30)*VLOOKUP(D3398,'报价表-配送'!$B$9:$I$13,8,0),0)+IF(AND(MOD(H3398,30)&gt;18,MOD(H3398,30)&lt;=30),1,0)*VLOOKUP(D3398,'报价表-配送'!$B$9:$I$13,8,0)</f>
        <v>0</v>
      </c>
      <c r="J3398" s="38">
        <f>IF(AND(MOD(H3398,30)&gt;8,MOD(H3398,30)&lt;=18),1*VLOOKUP(D3398,'报价表-配送'!$B$9:$I$13,7,0),0)</f>
        <v>0</v>
      </c>
      <c r="K3398" s="38">
        <f>IF(AND(MOD(H3398,30)&lt;=8,MOD(H3398,30)&gt;0),1,0)*VLOOKUP(D3398,'报价表-配送'!$B$9:$I$13,6,0)</f>
        <v>0</v>
      </c>
      <c r="L3398" s="121"/>
      <c r="M3398" s="126"/>
      <c r="N3398" s="127">
        <f t="shared" ref="N3398" si="217">SUM(I3398:L3398)</f>
        <v>0</v>
      </c>
    </row>
    <row r="3399" spans="1:14" x14ac:dyDescent="0.25">
      <c r="A3399" s="121" t="s">
        <v>83</v>
      </c>
      <c r="B3399" s="121" t="s">
        <v>176</v>
      </c>
      <c r="C3399" s="62">
        <f>VLOOKUP(B3399,合并仓明细!$D$2:$F$74,3,0)</f>
        <v>116</v>
      </c>
      <c r="D3399" s="122" t="s">
        <v>413</v>
      </c>
      <c r="E3399" s="123">
        <v>46002</v>
      </c>
      <c r="F3399" s="121" t="s">
        <v>66</v>
      </c>
      <c r="G3399" s="121">
        <v>45.49</v>
      </c>
      <c r="H3399" s="124"/>
      <c r="I3399" s="125"/>
      <c r="J3399" s="125"/>
      <c r="K3399" s="125"/>
      <c r="L3399" s="121"/>
      <c r="M3399" s="126"/>
      <c r="N3399" s="121"/>
    </row>
    <row r="3400" spans="1:14" x14ac:dyDescent="0.25">
      <c r="A3400" s="121" t="s">
        <v>83</v>
      </c>
      <c r="B3400" s="121" t="s">
        <v>176</v>
      </c>
      <c r="C3400" s="62">
        <f>VLOOKUP(B3400,合并仓明细!$D$2:$F$74,3,0)</f>
        <v>116</v>
      </c>
      <c r="D3400" s="122" t="s">
        <v>413</v>
      </c>
      <c r="E3400" s="123">
        <v>46007</v>
      </c>
      <c r="F3400" s="121" t="s">
        <v>66</v>
      </c>
      <c r="G3400" s="121">
        <v>0.05</v>
      </c>
      <c r="H3400" s="124">
        <v>5.0000000000000002E-5</v>
      </c>
      <c r="I3400" s="125"/>
      <c r="J3400" s="125"/>
      <c r="K3400" s="125"/>
      <c r="L3400" s="37">
        <f>IF(H3400&gt;30,QUOTIENT(H3400,30)*VLOOKUP(D3400,'报价表-配送'!$B$9:$I$13,8,0),0)+IF(AND(MOD(H3400,30)&gt;18,MOD(H3400,30)&lt;=30),1,0)*VLOOKUP(D3400,'报价表-配送'!$B$9:$I$13,8,0)+IF(AND(MOD(H3400,30)&gt;8,MOD(H3400,30)&lt;=18),1*VLOOKUP(D3400,'报价表-配送'!$B$9:$I$13,7,0),0)+IF(AND(MOD(H3400,30)&lt;=8,MOD(H3400,30)&gt;2.5),1,0)*VLOOKUP(D3400,'报价表-配送'!$B$9:$I$13,6,0)+IF(AND(MOD(H3400,30)&lt;=2.5,MOD(H3400,30)&gt;=1.5),1,0)*VLOOKUP(D3400,'报价表-配送'!$B$9:$I$13,5,0)</f>
        <v>0</v>
      </c>
      <c r="M3400" s="39">
        <f>IF(AND(MOD(H3400,30)&lt;1.5,MOD(H3400,30)&gt;=0.5),H3400,0)*VLOOKUP(D3400,'报价表-配送'!$B$9:$I$13,4,0)*1000+IF(AND(MOD(H3400,30)&lt;0.5,MOD(H3400,30)&gt;=0.02),H3400,0)*VLOOKUP(D3400,'报价表-配送'!$B$9:$I$13,3,0)*1000+IF(AND(MOD(H3400,30)&lt;0.02),H3400,0)*VLOOKUP(D3400,'报价表-配送'!$B$9:$I$13,2,0)*1000</f>
        <v>0</v>
      </c>
      <c r="N3400" s="127">
        <f t="shared" ref="N3400:N3401" si="218">SUM(I3400:L3400)</f>
        <v>0</v>
      </c>
    </row>
    <row r="3401" spans="1:14" x14ac:dyDescent="0.25">
      <c r="A3401" s="121" t="s">
        <v>83</v>
      </c>
      <c r="B3401" s="121" t="s">
        <v>176</v>
      </c>
      <c r="C3401" s="62">
        <f>VLOOKUP(B3401,合并仓明细!$D$2:$F$74,3,0)</f>
        <v>116</v>
      </c>
      <c r="D3401" s="122" t="s">
        <v>413</v>
      </c>
      <c r="E3401" s="123">
        <v>46016</v>
      </c>
      <c r="F3401" s="121" t="s">
        <v>68</v>
      </c>
      <c r="G3401" s="121">
        <v>51.09</v>
      </c>
      <c r="H3401" s="124">
        <v>0.34985000000000005</v>
      </c>
      <c r="I3401" s="46">
        <f>ROUNDUP(H3401/30,0)*VLOOKUP(D3401,'报价表-配送'!$B$9:$I$13,8,0)</f>
        <v>0</v>
      </c>
      <c r="J3401" s="125"/>
      <c r="K3401" s="125"/>
      <c r="L3401" s="121"/>
      <c r="M3401" s="126"/>
      <c r="N3401" s="127">
        <f t="shared" si="218"/>
        <v>0</v>
      </c>
    </row>
    <row r="3402" spans="1:14" x14ac:dyDescent="0.25">
      <c r="A3402" s="121" t="s">
        <v>83</v>
      </c>
      <c r="B3402" s="121" t="s">
        <v>176</v>
      </c>
      <c r="C3402" s="62">
        <f>VLOOKUP(B3402,合并仓明细!$D$2:$F$74,3,0)</f>
        <v>116</v>
      </c>
      <c r="D3402" s="122" t="s">
        <v>413</v>
      </c>
      <c r="E3402" s="123">
        <v>46016</v>
      </c>
      <c r="F3402" s="121" t="s">
        <v>67</v>
      </c>
      <c r="G3402" s="121">
        <v>202.1</v>
      </c>
      <c r="H3402" s="124"/>
      <c r="I3402" s="125"/>
      <c r="J3402" s="125"/>
      <c r="K3402" s="125"/>
      <c r="L3402" s="121"/>
      <c r="M3402" s="126"/>
      <c r="N3402" s="121"/>
    </row>
    <row r="3403" spans="1:14" x14ac:dyDescent="0.25">
      <c r="A3403" s="121" t="s">
        <v>83</v>
      </c>
      <c r="B3403" s="121" t="s">
        <v>176</v>
      </c>
      <c r="C3403" s="62">
        <f>VLOOKUP(B3403,合并仓明细!$D$2:$F$74,3,0)</f>
        <v>116</v>
      </c>
      <c r="D3403" s="122" t="s">
        <v>413</v>
      </c>
      <c r="E3403" s="123">
        <v>46016</v>
      </c>
      <c r="F3403" s="121" t="s">
        <v>66</v>
      </c>
      <c r="G3403" s="121">
        <v>96.66</v>
      </c>
      <c r="H3403" s="124"/>
      <c r="I3403" s="125"/>
      <c r="J3403" s="125"/>
      <c r="K3403" s="125"/>
      <c r="L3403" s="121"/>
      <c r="M3403" s="126"/>
      <c r="N3403" s="121"/>
    </row>
    <row r="3404" spans="1:14" x14ac:dyDescent="0.25">
      <c r="A3404" s="121" t="s">
        <v>83</v>
      </c>
      <c r="B3404" s="121" t="s">
        <v>176</v>
      </c>
      <c r="C3404" s="62">
        <f>VLOOKUP(B3404,合并仓明细!$D$2:$F$74,3,0)</f>
        <v>116</v>
      </c>
      <c r="D3404" s="122" t="s">
        <v>413</v>
      </c>
      <c r="E3404" s="123">
        <v>46020</v>
      </c>
      <c r="F3404" s="121" t="s">
        <v>66</v>
      </c>
      <c r="G3404" s="121">
        <v>29.17</v>
      </c>
      <c r="H3404" s="124">
        <v>2.9170000000000001E-2</v>
      </c>
      <c r="I3404" s="125"/>
      <c r="J3404" s="125"/>
      <c r="K3404" s="125"/>
      <c r="L3404" s="37">
        <f>IF(H3404&gt;30,QUOTIENT(H3404,30)*VLOOKUP(D3404,'报价表-配送'!$B$9:$I$13,8,0),0)+IF(AND(MOD(H3404,30)&gt;18,MOD(H3404,30)&lt;=30),1,0)*VLOOKUP(D3404,'报价表-配送'!$B$9:$I$13,8,0)+IF(AND(MOD(H3404,30)&gt;8,MOD(H3404,30)&lt;=18),1*VLOOKUP(D3404,'报价表-配送'!$B$9:$I$13,7,0),0)+IF(AND(MOD(H3404,30)&lt;=8,MOD(H3404,30)&gt;2.5),1,0)*VLOOKUP(D3404,'报价表-配送'!$B$9:$I$13,6,0)+IF(AND(MOD(H3404,30)&lt;=2.5,MOD(H3404,30)&gt;=1.5),1,0)*VLOOKUP(D3404,'报价表-配送'!$B$9:$I$13,5,0)</f>
        <v>0</v>
      </c>
      <c r="M3404" s="39">
        <f>IF(AND(MOD(H3404,30)&lt;1.5,MOD(H3404,30)&gt;=0.5),H3404,0)*VLOOKUP(D3404,'报价表-配送'!$B$9:$I$13,4,0)*1000+IF(AND(MOD(H3404,30)&lt;0.5,MOD(H3404,30)&gt;=0.02),H3404,0)*VLOOKUP(D3404,'报价表-配送'!$B$9:$I$13,3,0)*1000+IF(AND(MOD(H3404,30)&lt;0.02),H3404,0)*VLOOKUP(D3404,'报价表-配送'!$B$9:$I$13,2,0)*1000</f>
        <v>0</v>
      </c>
      <c r="N3404" s="127">
        <f t="shared" ref="N3404:N3407" si="219">SUM(I3404:L3404)</f>
        <v>0</v>
      </c>
    </row>
    <row r="3405" spans="1:14" x14ac:dyDescent="0.25">
      <c r="A3405" s="121" t="s">
        <v>83</v>
      </c>
      <c r="B3405" s="121" t="s">
        <v>176</v>
      </c>
      <c r="C3405" s="62">
        <f>VLOOKUP(B3405,合并仓明细!$D$2:$F$74,3,0)</f>
        <v>116</v>
      </c>
      <c r="D3405" s="122" t="s">
        <v>413</v>
      </c>
      <c r="E3405" s="123">
        <v>46035</v>
      </c>
      <c r="F3405" s="121" t="s">
        <v>66</v>
      </c>
      <c r="G3405" s="121">
        <v>59.52</v>
      </c>
      <c r="H3405" s="124">
        <v>5.9520000000000003E-2</v>
      </c>
      <c r="I3405" s="125"/>
      <c r="J3405" s="125"/>
      <c r="K3405" s="125"/>
      <c r="L3405" s="37">
        <f>IF(H3405&gt;30,QUOTIENT(H3405,30)*VLOOKUP(D3405,'报价表-配送'!$B$9:$I$13,8,0),0)+IF(AND(MOD(H3405,30)&gt;18,MOD(H3405,30)&lt;=30),1,0)*VLOOKUP(D3405,'报价表-配送'!$B$9:$I$13,8,0)+IF(AND(MOD(H3405,30)&gt;8,MOD(H3405,30)&lt;=18),1*VLOOKUP(D3405,'报价表-配送'!$B$9:$I$13,7,0),0)+IF(AND(MOD(H3405,30)&lt;=8,MOD(H3405,30)&gt;2.5),1,0)*VLOOKUP(D3405,'报价表-配送'!$B$9:$I$13,6,0)+IF(AND(MOD(H3405,30)&lt;=2.5,MOD(H3405,30)&gt;=1.5),1,0)*VLOOKUP(D3405,'报价表-配送'!$B$9:$I$13,5,0)</f>
        <v>0</v>
      </c>
      <c r="M3405" s="39">
        <f>IF(AND(MOD(H3405,30)&lt;1.5,MOD(H3405,30)&gt;=0.5),H3405,0)*VLOOKUP(D3405,'报价表-配送'!$B$9:$I$13,4,0)*1000+IF(AND(MOD(H3405,30)&lt;0.5,MOD(H3405,30)&gt;=0.02),H3405,0)*VLOOKUP(D3405,'报价表-配送'!$B$9:$I$13,3,0)*1000+IF(AND(MOD(H3405,30)&lt;0.02),H3405,0)*VLOOKUP(D3405,'报价表-配送'!$B$9:$I$13,2,0)*1000</f>
        <v>0</v>
      </c>
      <c r="N3405" s="127">
        <f t="shared" si="219"/>
        <v>0</v>
      </c>
    </row>
    <row r="3406" spans="1:14" x14ac:dyDescent="0.25">
      <c r="A3406" s="121" t="s">
        <v>83</v>
      </c>
      <c r="B3406" s="121" t="s">
        <v>176</v>
      </c>
      <c r="C3406" s="62">
        <f>VLOOKUP(B3406,合并仓明细!$D$2:$F$74,3,0)</f>
        <v>116</v>
      </c>
      <c r="D3406" s="122" t="s">
        <v>413</v>
      </c>
      <c r="E3406" s="123">
        <v>46044</v>
      </c>
      <c r="F3406" s="121" t="s">
        <v>67</v>
      </c>
      <c r="G3406" s="121">
        <v>160.19423999999998</v>
      </c>
      <c r="H3406" s="124">
        <v>0.16019423999999999</v>
      </c>
      <c r="I3406" s="38">
        <f>IF(H3406&gt;30,QUOTIENT(H3406,30)*VLOOKUP(D3406,'报价表-配送'!$B$9:$I$13,8,0),0)+IF(AND(MOD(H3406,30)&gt;18,MOD(H3406,30)&lt;=30),1,0)*VLOOKUP(D3406,'报价表-配送'!$B$9:$I$13,8,0)</f>
        <v>0</v>
      </c>
      <c r="J3406" s="38">
        <f>IF(AND(MOD(H3406,30)&gt;8,MOD(H3406,30)&lt;=18),1*VLOOKUP(D3406,'报价表-配送'!$B$9:$I$13,7,0),0)</f>
        <v>0</v>
      </c>
      <c r="K3406" s="38">
        <f>IF(AND(MOD(H3406,30)&lt;=8,MOD(H3406,30)&gt;0),1,0)*VLOOKUP(D3406,'报价表-配送'!$B$9:$I$13,6,0)</f>
        <v>0</v>
      </c>
      <c r="L3406" s="121"/>
      <c r="M3406" s="126"/>
      <c r="N3406" s="127">
        <f t="shared" si="219"/>
        <v>0</v>
      </c>
    </row>
    <row r="3407" spans="1:14" x14ac:dyDescent="0.25">
      <c r="A3407" s="121" t="s">
        <v>83</v>
      </c>
      <c r="B3407" s="121" t="s">
        <v>176</v>
      </c>
      <c r="C3407" s="62">
        <f>VLOOKUP(B3407,合并仓明细!$D$2:$F$74,3,0)</f>
        <v>116</v>
      </c>
      <c r="D3407" s="122" t="s">
        <v>413</v>
      </c>
      <c r="E3407" s="123">
        <v>46056</v>
      </c>
      <c r="F3407" s="121" t="s">
        <v>68</v>
      </c>
      <c r="G3407" s="121">
        <v>194.31072</v>
      </c>
      <c r="H3407" s="124">
        <v>0.26994650570000001</v>
      </c>
      <c r="I3407" s="46">
        <f>ROUNDUP(H3407/30,0)*VLOOKUP(D3407,'报价表-配送'!$B$9:$I$13,8,0)</f>
        <v>0</v>
      </c>
      <c r="J3407" s="125"/>
      <c r="K3407" s="125"/>
      <c r="L3407" s="121"/>
      <c r="M3407" s="126"/>
      <c r="N3407" s="127">
        <f t="shared" si="219"/>
        <v>0</v>
      </c>
    </row>
    <row r="3408" spans="1:14" x14ac:dyDescent="0.25">
      <c r="A3408" s="121" t="s">
        <v>83</v>
      </c>
      <c r="B3408" s="121" t="s">
        <v>176</v>
      </c>
      <c r="C3408" s="62">
        <f>VLOOKUP(B3408,合并仓明细!$D$2:$F$74,3,0)</f>
        <v>116</v>
      </c>
      <c r="D3408" s="122" t="s">
        <v>413</v>
      </c>
      <c r="E3408" s="123">
        <v>46056</v>
      </c>
      <c r="F3408" s="121" t="s">
        <v>66</v>
      </c>
      <c r="G3408" s="121">
        <v>75.6357857</v>
      </c>
      <c r="H3408" s="124"/>
      <c r="I3408" s="125"/>
      <c r="J3408" s="125"/>
      <c r="K3408" s="125"/>
      <c r="L3408" s="121"/>
      <c r="M3408" s="126"/>
      <c r="N3408" s="121"/>
    </row>
    <row r="3409" spans="1:14" x14ac:dyDescent="0.25">
      <c r="A3409" s="121" t="s">
        <v>83</v>
      </c>
      <c r="B3409" s="121" t="s">
        <v>178</v>
      </c>
      <c r="C3409" s="62">
        <f>VLOOKUP(B3409,合并仓明细!$D$2:$F$74,3,0)</f>
        <v>104</v>
      </c>
      <c r="D3409" s="122" t="s">
        <v>413</v>
      </c>
      <c r="E3409" s="123">
        <v>45968</v>
      </c>
      <c r="F3409" s="121" t="s">
        <v>67</v>
      </c>
      <c r="G3409" s="121">
        <v>750.97230000000002</v>
      </c>
      <c r="H3409" s="124">
        <v>0.7623285500000001</v>
      </c>
      <c r="I3409" s="38">
        <f>IF(H3409&gt;30,QUOTIENT(H3409,30)*VLOOKUP(D3409,'报价表-配送'!$B$9:$I$13,8,0),0)+IF(AND(MOD(H3409,30)&gt;18,MOD(H3409,30)&lt;=30),1,0)*VLOOKUP(D3409,'报价表-配送'!$B$9:$I$13,8,0)</f>
        <v>0</v>
      </c>
      <c r="J3409" s="38">
        <f>IF(AND(MOD(H3409,30)&gt;8,MOD(H3409,30)&lt;=18),1*VLOOKUP(D3409,'报价表-配送'!$B$9:$I$13,7,0),0)</f>
        <v>0</v>
      </c>
      <c r="K3409" s="38">
        <f>IF(AND(MOD(H3409,30)&lt;=8,MOD(H3409,30)&gt;0),1,0)*VLOOKUP(D3409,'报价表-配送'!$B$9:$I$13,6,0)</f>
        <v>0</v>
      </c>
      <c r="L3409" s="121"/>
      <c r="M3409" s="126"/>
      <c r="N3409" s="127">
        <f t="shared" ref="N3409" si="220">SUM(I3409:L3409)</f>
        <v>0</v>
      </c>
    </row>
    <row r="3410" spans="1:14" x14ac:dyDescent="0.25">
      <c r="A3410" s="121" t="s">
        <v>83</v>
      </c>
      <c r="B3410" s="121" t="s">
        <v>178</v>
      </c>
      <c r="C3410" s="62">
        <f>VLOOKUP(B3410,合并仓明细!$D$2:$F$74,3,0)</f>
        <v>104</v>
      </c>
      <c r="D3410" s="122" t="s">
        <v>413</v>
      </c>
      <c r="E3410" s="123">
        <v>45968</v>
      </c>
      <c r="F3410" s="121" t="s">
        <v>66</v>
      </c>
      <c r="G3410" s="121">
        <v>11.356249999999999</v>
      </c>
      <c r="H3410" s="124"/>
      <c r="I3410" s="125"/>
      <c r="J3410" s="125"/>
      <c r="K3410" s="125"/>
      <c r="L3410" s="121"/>
      <c r="M3410" s="126"/>
      <c r="N3410" s="121"/>
    </row>
    <row r="3411" spans="1:14" x14ac:dyDescent="0.25">
      <c r="A3411" s="121" t="s">
        <v>83</v>
      </c>
      <c r="B3411" s="121" t="s">
        <v>178</v>
      </c>
      <c r="C3411" s="62">
        <f>VLOOKUP(B3411,合并仓明细!$D$2:$F$74,3,0)</f>
        <v>104</v>
      </c>
      <c r="D3411" s="122" t="s">
        <v>413</v>
      </c>
      <c r="E3411" s="123">
        <v>45969</v>
      </c>
      <c r="F3411" s="121" t="s">
        <v>67</v>
      </c>
      <c r="G3411" s="121">
        <v>1043.5619999999999</v>
      </c>
      <c r="H3411" s="124">
        <v>1.0435619999999999</v>
      </c>
      <c r="I3411" s="38">
        <f>IF(H3411&gt;30,QUOTIENT(H3411,30)*VLOOKUP(D3411,'报价表-配送'!$B$9:$I$13,8,0),0)+IF(AND(MOD(H3411,30)&gt;18,MOD(H3411,30)&lt;=30),1,0)*VLOOKUP(D3411,'报价表-配送'!$B$9:$I$13,8,0)</f>
        <v>0</v>
      </c>
      <c r="J3411" s="38">
        <f>IF(AND(MOD(H3411,30)&gt;8,MOD(H3411,30)&lt;=18),1*VLOOKUP(D3411,'报价表-配送'!$B$9:$I$13,7,0),0)</f>
        <v>0</v>
      </c>
      <c r="K3411" s="38">
        <f>IF(AND(MOD(H3411,30)&lt;=8,MOD(H3411,30)&gt;0),1,0)*VLOOKUP(D3411,'报价表-配送'!$B$9:$I$13,6,0)</f>
        <v>0</v>
      </c>
      <c r="L3411" s="121"/>
      <c r="M3411" s="126"/>
      <c r="N3411" s="127">
        <f t="shared" ref="N3411:N3415" si="221">SUM(I3411:L3411)</f>
        <v>0</v>
      </c>
    </row>
    <row r="3412" spans="1:14" x14ac:dyDescent="0.25">
      <c r="A3412" s="121" t="s">
        <v>80</v>
      </c>
      <c r="B3412" s="121" t="s">
        <v>150</v>
      </c>
      <c r="C3412" s="62">
        <f>VLOOKUP(B3412,合并仓明细!$D$2:$F$74,3,0)</f>
        <v>430</v>
      </c>
      <c r="D3412" s="122" t="s">
        <v>25</v>
      </c>
      <c r="E3412" s="123">
        <v>45940</v>
      </c>
      <c r="F3412" s="121" t="s">
        <v>66</v>
      </c>
      <c r="G3412" s="121">
        <v>48.9</v>
      </c>
      <c r="H3412" s="124">
        <v>4.8899999999999999E-2</v>
      </c>
      <c r="I3412" s="125"/>
      <c r="J3412" s="125"/>
      <c r="K3412" s="125"/>
      <c r="L3412" s="37">
        <f>IF(H3412&gt;30,QUOTIENT(H3412,30)*VLOOKUP(D3412,'报价表-配送'!$B$24:$I$29,8,0),0)+IF(AND(MOD(H3412,30)&gt;18,MOD(H3412,30)&lt;=30),1,0)*VLOOKUP(D3412,'报价表-配送'!$B$24:$I$29,8,0)+IF(AND(MOD(H3412,30)&gt;8,MOD(H3412,30)&lt;=18),1*VLOOKUP(D3412,'报价表-配送'!$B$24:$I$29,7,0),0)+IF(AND(MOD(H3412,30)&lt;=8,MOD(H3412,30)&gt;2.5),1,0)*VLOOKUP(D3412,'报价表-配送'!$B$24:$I$29,6,0)+IF(AND(MOD(H3412,30)&lt;=2.5,MOD(H3412,30)&gt;=1.5),1,0)*VLOOKUP(D3412,'报价表-配送'!$B$24:$I$29,5,0)</f>
        <v>0</v>
      </c>
      <c r="M3412" s="38">
        <f>IF(AND(MOD(H3412,30)&lt;1.5,MOD(H3412,30)&gt;=0.5),H3412,0)*VLOOKUP(D3412,'报价表-配送'!$B$24:$I$29,4,0)*1000+IF(AND(MOD(H3412,30)&lt;0.5,MOD(H3412,30)&gt;=0.02),H3412,0)*VLOOKUP(D3412,'报价表-配送'!$B$24:$I$29,3,0)*1000+IF(AND(MOD(H3412,30)&lt;0.02),H3412,0)*VLOOKUP(D3412,'报价表-配送'!$B$24:$I$29,2,0)*1000</f>
        <v>0</v>
      </c>
      <c r="N3412" s="127">
        <f t="shared" si="221"/>
        <v>0</v>
      </c>
    </row>
    <row r="3413" spans="1:14" x14ac:dyDescent="0.25">
      <c r="A3413" s="121" t="s">
        <v>80</v>
      </c>
      <c r="B3413" s="121" t="s">
        <v>150</v>
      </c>
      <c r="C3413" s="62">
        <f>VLOOKUP(B3413,合并仓明细!$D$2:$F$74,3,0)</f>
        <v>430</v>
      </c>
      <c r="D3413" s="122" t="s">
        <v>25</v>
      </c>
      <c r="E3413" s="123">
        <v>45961</v>
      </c>
      <c r="F3413" s="121" t="s">
        <v>66</v>
      </c>
      <c r="G3413" s="121">
        <v>42.344999999999999</v>
      </c>
      <c r="H3413" s="124">
        <v>4.2345000000000001E-2</v>
      </c>
      <c r="I3413" s="125"/>
      <c r="J3413" s="125"/>
      <c r="K3413" s="125"/>
      <c r="L3413" s="37">
        <f>IF(H3413&gt;30,QUOTIENT(H3413,30)*VLOOKUP(D3413,'报价表-配送'!$B$24:$I$29,8,0),0)+IF(AND(MOD(H3413,30)&gt;18,MOD(H3413,30)&lt;=30),1,0)*VLOOKUP(D3413,'报价表-配送'!$B$24:$I$29,8,0)+IF(AND(MOD(H3413,30)&gt;8,MOD(H3413,30)&lt;=18),1*VLOOKUP(D3413,'报价表-配送'!$B$24:$I$29,7,0),0)+IF(AND(MOD(H3413,30)&lt;=8,MOD(H3413,30)&gt;2.5),1,0)*VLOOKUP(D3413,'报价表-配送'!$B$24:$I$29,6,0)+IF(AND(MOD(H3413,30)&lt;=2.5,MOD(H3413,30)&gt;=1.5),1,0)*VLOOKUP(D3413,'报价表-配送'!$B$24:$I$29,5,0)</f>
        <v>0</v>
      </c>
      <c r="M3413" s="38">
        <f>IF(AND(MOD(H3413,30)&lt;1.5,MOD(H3413,30)&gt;=0.5),H3413,0)*VLOOKUP(D3413,'报价表-配送'!$B$24:$I$29,4,0)*1000+IF(AND(MOD(H3413,30)&lt;0.5,MOD(H3413,30)&gt;=0.02),H3413,0)*VLOOKUP(D3413,'报价表-配送'!$B$24:$I$29,3,0)*1000+IF(AND(MOD(H3413,30)&lt;0.02),H3413,0)*VLOOKUP(D3413,'报价表-配送'!$B$24:$I$29,2,0)*1000</f>
        <v>0</v>
      </c>
      <c r="N3413" s="127">
        <f t="shared" si="221"/>
        <v>0</v>
      </c>
    </row>
    <row r="3414" spans="1:14" x14ac:dyDescent="0.25">
      <c r="A3414" s="121" t="s">
        <v>80</v>
      </c>
      <c r="B3414" s="121" t="s">
        <v>150</v>
      </c>
      <c r="C3414" s="62">
        <f>VLOOKUP(B3414,合并仓明细!$D$2:$F$74,3,0)</f>
        <v>430</v>
      </c>
      <c r="D3414" s="122" t="s">
        <v>25</v>
      </c>
      <c r="E3414" s="123">
        <v>45987</v>
      </c>
      <c r="F3414" s="121" t="s">
        <v>66</v>
      </c>
      <c r="G3414" s="121">
        <v>33.224300000000007</v>
      </c>
      <c r="H3414" s="124">
        <v>3.3224300000000005E-2</v>
      </c>
      <c r="I3414" s="125"/>
      <c r="J3414" s="125"/>
      <c r="K3414" s="125"/>
      <c r="L3414" s="37">
        <f>IF(H3414&gt;30,QUOTIENT(H3414,30)*VLOOKUP(D3414,'报价表-配送'!$B$24:$I$29,8,0),0)+IF(AND(MOD(H3414,30)&gt;18,MOD(H3414,30)&lt;=30),1,0)*VLOOKUP(D3414,'报价表-配送'!$B$24:$I$29,8,0)+IF(AND(MOD(H3414,30)&gt;8,MOD(H3414,30)&lt;=18),1*VLOOKUP(D3414,'报价表-配送'!$B$24:$I$29,7,0),0)+IF(AND(MOD(H3414,30)&lt;=8,MOD(H3414,30)&gt;2.5),1,0)*VLOOKUP(D3414,'报价表-配送'!$B$24:$I$29,6,0)+IF(AND(MOD(H3414,30)&lt;=2.5,MOD(H3414,30)&gt;=1.5),1,0)*VLOOKUP(D3414,'报价表-配送'!$B$24:$I$29,5,0)</f>
        <v>0</v>
      </c>
      <c r="M3414" s="38">
        <f>IF(AND(MOD(H3414,30)&lt;1.5,MOD(H3414,30)&gt;=0.5),H3414,0)*VLOOKUP(D3414,'报价表-配送'!$B$24:$I$29,4,0)*1000+IF(AND(MOD(H3414,30)&lt;0.5,MOD(H3414,30)&gt;=0.02),H3414,0)*VLOOKUP(D3414,'报价表-配送'!$B$24:$I$29,3,0)*1000+IF(AND(MOD(H3414,30)&lt;0.02),H3414,0)*VLOOKUP(D3414,'报价表-配送'!$B$24:$I$29,2,0)*1000</f>
        <v>0</v>
      </c>
      <c r="N3414" s="127">
        <f t="shared" si="221"/>
        <v>0</v>
      </c>
    </row>
    <row r="3415" spans="1:14" x14ac:dyDescent="0.25">
      <c r="A3415" s="121" t="s">
        <v>80</v>
      </c>
      <c r="B3415" s="121" t="s">
        <v>150</v>
      </c>
      <c r="C3415" s="62">
        <f>VLOOKUP(B3415,合并仓明细!$D$2:$F$74,3,0)</f>
        <v>430</v>
      </c>
      <c r="D3415" s="122" t="s">
        <v>25</v>
      </c>
      <c r="E3415" s="123">
        <v>46001</v>
      </c>
      <c r="F3415" s="121" t="s">
        <v>68</v>
      </c>
      <c r="G3415" s="121">
        <v>115.24</v>
      </c>
      <c r="H3415" s="124">
        <v>0.35552999999999996</v>
      </c>
      <c r="I3415" s="59">
        <f>ROUNDUP(H3415/30,0)*VLOOKUP(D3415,'报价表-配送'!$B$24:$I$29,8,0)</f>
        <v>0</v>
      </c>
      <c r="J3415" s="125"/>
      <c r="K3415" s="125"/>
      <c r="L3415" s="121"/>
      <c r="M3415" s="126"/>
      <c r="N3415" s="127">
        <f t="shared" si="221"/>
        <v>0</v>
      </c>
    </row>
    <row r="3416" spans="1:14" x14ac:dyDescent="0.25">
      <c r="A3416" s="121" t="s">
        <v>80</v>
      </c>
      <c r="B3416" s="121" t="s">
        <v>150</v>
      </c>
      <c r="C3416" s="62">
        <f>VLOOKUP(B3416,合并仓明细!$D$2:$F$74,3,0)</f>
        <v>430</v>
      </c>
      <c r="D3416" s="122" t="s">
        <v>25</v>
      </c>
      <c r="E3416" s="123">
        <v>46001</v>
      </c>
      <c r="F3416" s="121" t="s">
        <v>67</v>
      </c>
      <c r="G3416" s="121">
        <v>240.29</v>
      </c>
      <c r="H3416" s="124"/>
      <c r="I3416" s="125"/>
      <c r="J3416" s="125"/>
      <c r="K3416" s="125"/>
      <c r="L3416" s="121"/>
      <c r="M3416" s="126"/>
      <c r="N3416" s="121"/>
    </row>
    <row r="3417" spans="1:14" x14ac:dyDescent="0.25">
      <c r="A3417" s="121" t="s">
        <v>80</v>
      </c>
      <c r="B3417" s="121" t="s">
        <v>150</v>
      </c>
      <c r="C3417" s="62">
        <f>VLOOKUP(B3417,合并仓明细!$D$2:$F$74,3,0)</f>
        <v>430</v>
      </c>
      <c r="D3417" s="122" t="s">
        <v>25</v>
      </c>
      <c r="E3417" s="123">
        <v>46111</v>
      </c>
      <c r="F3417" s="121" t="s">
        <v>66</v>
      </c>
      <c r="G3417" s="121">
        <v>36.997499999999995</v>
      </c>
      <c r="H3417" s="124">
        <v>3.6997499999999996E-2</v>
      </c>
      <c r="I3417" s="125"/>
      <c r="J3417" s="125"/>
      <c r="K3417" s="125"/>
      <c r="L3417" s="37">
        <f>IF(H3417&gt;30,QUOTIENT(H3417,30)*VLOOKUP(D3417,'报价表-配送'!$B$24:$I$29,8,0),0)+IF(AND(MOD(H3417,30)&gt;18,MOD(H3417,30)&lt;=30),1,0)*VLOOKUP(D3417,'报价表-配送'!$B$24:$I$29,8,0)+IF(AND(MOD(H3417,30)&gt;8,MOD(H3417,30)&lt;=18),1*VLOOKUP(D3417,'报价表-配送'!$B$24:$I$29,7,0),0)+IF(AND(MOD(H3417,30)&lt;=8,MOD(H3417,30)&gt;2.5),1,0)*VLOOKUP(D3417,'报价表-配送'!$B$24:$I$29,6,0)+IF(AND(MOD(H3417,30)&lt;=2.5,MOD(H3417,30)&gt;=1.5),1,0)*VLOOKUP(D3417,'报价表-配送'!$B$24:$I$29,5,0)</f>
        <v>0</v>
      </c>
      <c r="M3417" s="38">
        <f>IF(AND(MOD(H3417,30)&lt;1.5,MOD(H3417,30)&gt;=0.5),H3417,0)*VLOOKUP(D3417,'报价表-配送'!$B$24:$I$29,4,0)*1000+IF(AND(MOD(H3417,30)&lt;0.5,MOD(H3417,30)&gt;=0.02),H3417,0)*VLOOKUP(D3417,'报价表-配送'!$B$24:$I$29,3,0)*1000+IF(AND(MOD(H3417,30)&lt;0.02),H3417,0)*VLOOKUP(D3417,'报价表-配送'!$B$24:$I$29,2,0)*1000</f>
        <v>0</v>
      </c>
      <c r="N3417" s="127">
        <f t="shared" ref="N3417:N3423" si="222">SUM(I3417:L3417)</f>
        <v>0</v>
      </c>
    </row>
    <row r="3418" spans="1:14" x14ac:dyDescent="0.25">
      <c r="A3418" s="121" t="s">
        <v>80</v>
      </c>
      <c r="B3418" s="121" t="s">
        <v>152</v>
      </c>
      <c r="C3418" s="62">
        <f>VLOOKUP(B3418,合并仓明细!$D$2:$F$74,3,0)</f>
        <v>114</v>
      </c>
      <c r="D3418" s="122" t="s">
        <v>413</v>
      </c>
      <c r="E3418" s="123">
        <v>45952</v>
      </c>
      <c r="F3418" s="121" t="s">
        <v>66</v>
      </c>
      <c r="G3418" s="121">
        <v>22.56</v>
      </c>
      <c r="H3418" s="124">
        <v>2.256E-2</v>
      </c>
      <c r="I3418" s="125"/>
      <c r="J3418" s="125"/>
      <c r="K3418" s="125"/>
      <c r="L3418" s="37">
        <f>IF(H3418&gt;30,QUOTIENT(H3418,30)*VLOOKUP(D3418,'报价表-配送'!$B$24:$I$29,8,0),0)+IF(AND(MOD(H3418,30)&gt;18,MOD(H3418,30)&lt;=30),1,0)*VLOOKUP(D3418,'报价表-配送'!$B$24:$I$29,8,0)+IF(AND(MOD(H3418,30)&gt;8,MOD(H3418,30)&lt;=18),1*VLOOKUP(D3418,'报价表-配送'!$B$24:$I$29,7,0),0)+IF(AND(MOD(H3418,30)&lt;=8,MOD(H3418,30)&gt;2.5),1,0)*VLOOKUP(D3418,'报价表-配送'!$B$24:$I$29,6,0)+IF(AND(MOD(H3418,30)&lt;=2.5,MOD(H3418,30)&gt;=1.5),1,0)*VLOOKUP(D3418,'报价表-配送'!$B$24:$I$29,5,0)</f>
        <v>0</v>
      </c>
      <c r="M3418" s="38">
        <f>IF(AND(MOD(H3418,30)&lt;1.5,MOD(H3418,30)&gt;=0.5),H3418,0)*VLOOKUP(D3418,'报价表-配送'!$B$24:$I$29,4,0)*1000+IF(AND(MOD(H3418,30)&lt;0.5,MOD(H3418,30)&gt;=0.02),H3418,0)*VLOOKUP(D3418,'报价表-配送'!$B$24:$I$29,3,0)*1000+IF(AND(MOD(H3418,30)&lt;0.02),H3418,0)*VLOOKUP(D3418,'报价表-配送'!$B$24:$I$29,2,0)*1000</f>
        <v>0</v>
      </c>
      <c r="N3418" s="127">
        <f t="shared" si="222"/>
        <v>0</v>
      </c>
    </row>
    <row r="3419" spans="1:14" x14ac:dyDescent="0.25">
      <c r="A3419" s="121" t="s">
        <v>80</v>
      </c>
      <c r="B3419" s="121" t="s">
        <v>152</v>
      </c>
      <c r="C3419" s="62">
        <f>VLOOKUP(B3419,合并仓明细!$D$2:$F$74,3,0)</f>
        <v>114</v>
      </c>
      <c r="D3419" s="122" t="s">
        <v>413</v>
      </c>
      <c r="E3419" s="123">
        <v>45973</v>
      </c>
      <c r="F3419" s="121" t="s">
        <v>66</v>
      </c>
      <c r="G3419" s="121">
        <v>4.75</v>
      </c>
      <c r="H3419" s="124">
        <v>4.7499999999999999E-3</v>
      </c>
      <c r="I3419" s="125"/>
      <c r="J3419" s="125"/>
      <c r="K3419" s="125"/>
      <c r="L3419" s="37">
        <f>IF(H3419&gt;30,QUOTIENT(H3419,30)*VLOOKUP(D3419,'报价表-配送'!$B$24:$I$29,8,0),0)+IF(AND(MOD(H3419,30)&gt;18,MOD(H3419,30)&lt;=30),1,0)*VLOOKUP(D3419,'报价表-配送'!$B$24:$I$29,8,0)+IF(AND(MOD(H3419,30)&gt;8,MOD(H3419,30)&lt;=18),1*VLOOKUP(D3419,'报价表-配送'!$B$24:$I$29,7,0),0)+IF(AND(MOD(H3419,30)&lt;=8,MOD(H3419,30)&gt;2.5),1,0)*VLOOKUP(D3419,'报价表-配送'!$B$24:$I$29,6,0)+IF(AND(MOD(H3419,30)&lt;=2.5,MOD(H3419,30)&gt;=1.5),1,0)*VLOOKUP(D3419,'报价表-配送'!$B$24:$I$29,5,0)</f>
        <v>0</v>
      </c>
      <c r="M3419" s="38">
        <f>IF(AND(MOD(H3419,30)&lt;1.5,MOD(H3419,30)&gt;=0.5),H3419,0)*VLOOKUP(D3419,'报价表-配送'!$B$24:$I$29,4,0)*1000+IF(AND(MOD(H3419,30)&lt;0.5,MOD(H3419,30)&gt;=0.02),H3419,0)*VLOOKUP(D3419,'报价表-配送'!$B$24:$I$29,3,0)*1000+IF(AND(MOD(H3419,30)&lt;0.02),H3419,0)*VLOOKUP(D3419,'报价表-配送'!$B$24:$I$29,2,0)*1000</f>
        <v>0</v>
      </c>
      <c r="N3419" s="127">
        <f t="shared" si="222"/>
        <v>0</v>
      </c>
    </row>
    <row r="3420" spans="1:14" x14ac:dyDescent="0.25">
      <c r="A3420" s="121" t="s">
        <v>80</v>
      </c>
      <c r="B3420" s="121" t="s">
        <v>151</v>
      </c>
      <c r="C3420" s="62">
        <f>VLOOKUP(B3420,合并仓明细!$D$2:$F$74,3,0)</f>
        <v>216</v>
      </c>
      <c r="D3420" s="122" t="s">
        <v>414</v>
      </c>
      <c r="E3420" s="123">
        <v>45946</v>
      </c>
      <c r="F3420" s="121" t="s">
        <v>66</v>
      </c>
      <c r="G3420" s="121">
        <v>53.5</v>
      </c>
      <c r="H3420" s="124">
        <v>5.3499999999999999E-2</v>
      </c>
      <c r="I3420" s="125"/>
      <c r="J3420" s="125"/>
      <c r="K3420" s="125"/>
      <c r="L3420" s="37">
        <f>IF(H3420&gt;30,QUOTIENT(H3420,30)*VLOOKUP(D3420,'报价表-配送'!$B$24:$I$29,8,0),0)+IF(AND(MOD(H3420,30)&gt;18,MOD(H3420,30)&lt;=30),1,0)*VLOOKUP(D3420,'报价表-配送'!$B$24:$I$29,8,0)+IF(AND(MOD(H3420,30)&gt;8,MOD(H3420,30)&lt;=18),1*VLOOKUP(D3420,'报价表-配送'!$B$24:$I$29,7,0),0)+IF(AND(MOD(H3420,30)&lt;=8,MOD(H3420,30)&gt;2.5),1,0)*VLOOKUP(D3420,'报价表-配送'!$B$24:$I$29,6,0)+IF(AND(MOD(H3420,30)&lt;=2.5,MOD(H3420,30)&gt;=1.5),1,0)*VLOOKUP(D3420,'报价表-配送'!$B$24:$I$29,5,0)</f>
        <v>0</v>
      </c>
      <c r="M3420" s="38">
        <f>IF(AND(MOD(H3420,30)&lt;1.5,MOD(H3420,30)&gt;=0.5),H3420,0)*VLOOKUP(D3420,'报价表-配送'!$B$24:$I$29,4,0)*1000+IF(AND(MOD(H3420,30)&lt;0.5,MOD(H3420,30)&gt;=0.02),H3420,0)*VLOOKUP(D3420,'报价表-配送'!$B$24:$I$29,3,0)*1000+IF(AND(MOD(H3420,30)&lt;0.02),H3420,0)*VLOOKUP(D3420,'报价表-配送'!$B$24:$I$29,2,0)*1000</f>
        <v>0</v>
      </c>
      <c r="N3420" s="127">
        <f t="shared" si="222"/>
        <v>0</v>
      </c>
    </row>
    <row r="3421" spans="1:14" x14ac:dyDescent="0.25">
      <c r="A3421" s="121" t="s">
        <v>80</v>
      </c>
      <c r="B3421" s="121" t="s">
        <v>151</v>
      </c>
      <c r="C3421" s="62">
        <f>VLOOKUP(B3421,合并仓明细!$D$2:$F$74,3,0)</f>
        <v>216</v>
      </c>
      <c r="D3421" s="122" t="s">
        <v>414</v>
      </c>
      <c r="E3421" s="123">
        <v>45965</v>
      </c>
      <c r="F3421" s="121" t="s">
        <v>66</v>
      </c>
      <c r="G3421" s="121">
        <v>187.98666580000003</v>
      </c>
      <c r="H3421" s="124">
        <v>0.18798666580000004</v>
      </c>
      <c r="I3421" s="125"/>
      <c r="J3421" s="125"/>
      <c r="K3421" s="125"/>
      <c r="L3421" s="37">
        <f>IF(H3421&gt;30,QUOTIENT(H3421,30)*VLOOKUP(D3421,'报价表-配送'!$B$24:$I$29,8,0),0)+IF(AND(MOD(H3421,30)&gt;18,MOD(H3421,30)&lt;=30),1,0)*VLOOKUP(D3421,'报价表-配送'!$B$24:$I$29,8,0)+IF(AND(MOD(H3421,30)&gt;8,MOD(H3421,30)&lt;=18),1*VLOOKUP(D3421,'报价表-配送'!$B$24:$I$29,7,0),0)+IF(AND(MOD(H3421,30)&lt;=8,MOD(H3421,30)&gt;2.5),1,0)*VLOOKUP(D3421,'报价表-配送'!$B$24:$I$29,6,0)+IF(AND(MOD(H3421,30)&lt;=2.5,MOD(H3421,30)&gt;=1.5),1,0)*VLOOKUP(D3421,'报价表-配送'!$B$24:$I$29,5,0)</f>
        <v>0</v>
      </c>
      <c r="M3421" s="38">
        <f>IF(AND(MOD(H3421,30)&lt;1.5,MOD(H3421,30)&gt;=0.5),H3421,0)*VLOOKUP(D3421,'报价表-配送'!$B$24:$I$29,4,0)*1000+IF(AND(MOD(H3421,30)&lt;0.5,MOD(H3421,30)&gt;=0.02),H3421,0)*VLOOKUP(D3421,'报价表-配送'!$B$24:$I$29,3,0)*1000+IF(AND(MOD(H3421,30)&lt;0.02),H3421,0)*VLOOKUP(D3421,'报价表-配送'!$B$24:$I$29,2,0)*1000</f>
        <v>0</v>
      </c>
      <c r="N3421" s="127">
        <f t="shared" si="222"/>
        <v>0</v>
      </c>
    </row>
    <row r="3422" spans="1:14" x14ac:dyDescent="0.25">
      <c r="A3422" s="121" t="s">
        <v>80</v>
      </c>
      <c r="B3422" s="121" t="s">
        <v>151</v>
      </c>
      <c r="C3422" s="62">
        <f>VLOOKUP(B3422,合并仓明细!$D$2:$F$74,3,0)</f>
        <v>216</v>
      </c>
      <c r="D3422" s="122" t="s">
        <v>414</v>
      </c>
      <c r="E3422" s="123">
        <v>46034</v>
      </c>
      <c r="F3422" s="121" t="s">
        <v>66</v>
      </c>
      <c r="G3422" s="121">
        <v>2.7833299999999999</v>
      </c>
      <c r="H3422" s="124">
        <v>2.7833299999999997E-3</v>
      </c>
      <c r="I3422" s="125"/>
      <c r="J3422" s="125"/>
      <c r="K3422" s="125"/>
      <c r="L3422" s="37">
        <f>IF(H3422&gt;30,QUOTIENT(H3422,30)*VLOOKUP(D3422,'报价表-配送'!$B$24:$I$29,8,0),0)+IF(AND(MOD(H3422,30)&gt;18,MOD(H3422,30)&lt;=30),1,0)*VLOOKUP(D3422,'报价表-配送'!$B$24:$I$29,8,0)+IF(AND(MOD(H3422,30)&gt;8,MOD(H3422,30)&lt;=18),1*VLOOKUP(D3422,'报价表-配送'!$B$24:$I$29,7,0),0)+IF(AND(MOD(H3422,30)&lt;=8,MOD(H3422,30)&gt;2.5),1,0)*VLOOKUP(D3422,'报价表-配送'!$B$24:$I$29,6,0)+IF(AND(MOD(H3422,30)&lt;=2.5,MOD(H3422,30)&gt;=1.5),1,0)*VLOOKUP(D3422,'报价表-配送'!$B$24:$I$29,5,0)</f>
        <v>0</v>
      </c>
      <c r="M3422" s="38">
        <f>IF(AND(MOD(H3422,30)&lt;1.5,MOD(H3422,30)&gt;=0.5),H3422,0)*VLOOKUP(D3422,'报价表-配送'!$B$24:$I$29,4,0)*1000+IF(AND(MOD(H3422,30)&lt;0.5,MOD(H3422,30)&gt;=0.02),H3422,0)*VLOOKUP(D3422,'报价表-配送'!$B$24:$I$29,3,0)*1000+IF(AND(MOD(H3422,30)&lt;0.02),H3422,0)*VLOOKUP(D3422,'报价表-配送'!$B$24:$I$29,2,0)*1000</f>
        <v>0</v>
      </c>
      <c r="N3422" s="127">
        <f t="shared" si="222"/>
        <v>0</v>
      </c>
    </row>
    <row r="3423" spans="1:14" x14ac:dyDescent="0.25">
      <c r="A3423" s="121" t="s">
        <v>77</v>
      </c>
      <c r="B3423" s="121" t="s">
        <v>170</v>
      </c>
      <c r="C3423" s="62">
        <f>VLOOKUP(B3423,合并仓明细!$D$2:$F$74,3,0)</f>
        <v>481</v>
      </c>
      <c r="D3423" s="122" t="s">
        <v>25</v>
      </c>
      <c r="E3423" s="123">
        <v>45941</v>
      </c>
      <c r="F3423" s="121" t="s">
        <v>68</v>
      </c>
      <c r="G3423" s="121">
        <v>1743.7619999999999</v>
      </c>
      <c r="H3423" s="124">
        <v>1.8645303332999998</v>
      </c>
      <c r="I3423" s="46">
        <f>ROUNDUP(H3423/30,0)*VLOOKUP(D3423,'报价表-配送'!$B$75:$I$81,8,0)</f>
        <v>0</v>
      </c>
      <c r="J3423" s="125"/>
      <c r="K3423" s="125"/>
      <c r="L3423" s="121"/>
      <c r="M3423" s="126"/>
      <c r="N3423" s="127">
        <f t="shared" si="222"/>
        <v>0</v>
      </c>
    </row>
    <row r="3424" spans="1:14" x14ac:dyDescent="0.25">
      <c r="A3424" s="121" t="s">
        <v>77</v>
      </c>
      <c r="B3424" s="121" t="s">
        <v>170</v>
      </c>
      <c r="C3424" s="62">
        <f>VLOOKUP(B3424,合并仓明细!$D$2:$F$74,3,0)</f>
        <v>481</v>
      </c>
      <c r="D3424" s="122" t="s">
        <v>25</v>
      </c>
      <c r="E3424" s="123">
        <v>45941</v>
      </c>
      <c r="F3424" s="121" t="s">
        <v>66</v>
      </c>
      <c r="G3424" s="121">
        <v>120.76833329999999</v>
      </c>
      <c r="H3424" s="124"/>
      <c r="I3424" s="125"/>
      <c r="J3424" s="125"/>
      <c r="K3424" s="125"/>
      <c r="L3424" s="121"/>
      <c r="M3424" s="126"/>
      <c r="N3424" s="121"/>
    </row>
    <row r="3425" spans="1:14" x14ac:dyDescent="0.25">
      <c r="A3425" s="121" t="s">
        <v>77</v>
      </c>
      <c r="B3425" s="121" t="s">
        <v>170</v>
      </c>
      <c r="C3425" s="62">
        <f>VLOOKUP(B3425,合并仓明细!$D$2:$F$74,3,0)</f>
        <v>481</v>
      </c>
      <c r="D3425" s="122" t="s">
        <v>25</v>
      </c>
      <c r="E3425" s="123">
        <v>45973</v>
      </c>
      <c r="F3425" s="121" t="s">
        <v>66</v>
      </c>
      <c r="G3425" s="121">
        <v>200</v>
      </c>
      <c r="H3425" s="124">
        <v>0.2</v>
      </c>
      <c r="I3425" s="125"/>
      <c r="J3425" s="125"/>
      <c r="K3425" s="125"/>
      <c r="L3425" s="37">
        <f>IF(H3425&gt;30,QUOTIENT(H3425,30)*VLOOKUP(D3425,'报价表-配送'!$B$75:$I$81,8,0),0)+IF(AND(MOD(H3425,30)&gt;18,MOD(H3425,30)&lt;=30),1,0)*VLOOKUP(D3425,'报价表-配送'!$B$75:$I$81,8,0)+IF(AND(MOD(H3425,30)&gt;8,MOD(H3425,30)&lt;=18),1*VLOOKUP(D3425,'报价表-配送'!$B$75:$I$81,7,0),0)+IF(AND(MOD(H3425,30)&lt;=8,MOD(H3425,30)&gt;2.5),1,0)*VLOOKUP(D3425,'报价表-配送'!$B$75:$I$81,6,0)+IF(AND(MOD(H3425,30)&lt;=2.5,MOD(H3425,30)&gt;=1.5),1,0)*VLOOKUP(D3425,'报价表-配送'!$B$75:$I$81,5,0)</f>
        <v>0</v>
      </c>
      <c r="M3425" s="39">
        <f>IF(AND(MOD(H3425,30)&lt;1.5,MOD(H3425,30)&gt;=0.5),H3425,0)*VLOOKUP(D3425,'报价表-配送'!$B$75:$I$81,4,0)*1000+IF(AND(MOD(H3425,30)&lt;0.5,MOD(H3425,30)&gt;=0.02),H3425,0)*VLOOKUP(D3425,'报价表-配送'!$B$75:$I$81,3,0)*1000+IF(AND(MOD(H3425,30)&lt;0.02),H3425,0)*VLOOKUP(D3425,'报价表-配送'!$B$75:$I$81,2,0)*1000</f>
        <v>0</v>
      </c>
      <c r="N3425" s="127">
        <f t="shared" ref="N3425:N3426" si="223">SUM(I3425:L3425)</f>
        <v>0</v>
      </c>
    </row>
    <row r="3426" spans="1:14" x14ac:dyDescent="0.25">
      <c r="A3426" s="121" t="s">
        <v>77</v>
      </c>
      <c r="B3426" s="121" t="s">
        <v>170</v>
      </c>
      <c r="C3426" s="62">
        <f>VLOOKUP(B3426,合并仓明细!$D$2:$F$74,3,0)</f>
        <v>481</v>
      </c>
      <c r="D3426" s="122" t="s">
        <v>25</v>
      </c>
      <c r="E3426" s="123">
        <v>46006</v>
      </c>
      <c r="F3426" s="121" t="s">
        <v>68</v>
      </c>
      <c r="G3426" s="121">
        <v>1116.9000000000001</v>
      </c>
      <c r="H3426" s="124">
        <v>4.2968876999999992</v>
      </c>
      <c r="I3426" s="46">
        <f>ROUNDUP(H3426/30,0)*VLOOKUP(D3426,'报价表-配送'!$B$75:$I$81,8,0)</f>
        <v>0</v>
      </c>
      <c r="J3426" s="125"/>
      <c r="K3426" s="125"/>
      <c r="L3426" s="121"/>
      <c r="M3426" s="126"/>
      <c r="N3426" s="127">
        <f t="shared" si="223"/>
        <v>0</v>
      </c>
    </row>
    <row r="3427" spans="1:14" x14ac:dyDescent="0.25">
      <c r="A3427" s="121" t="s">
        <v>77</v>
      </c>
      <c r="B3427" s="121" t="s">
        <v>170</v>
      </c>
      <c r="C3427" s="62">
        <f>VLOOKUP(B3427,合并仓明细!$D$2:$F$74,3,0)</f>
        <v>481</v>
      </c>
      <c r="D3427" s="122" t="s">
        <v>25</v>
      </c>
      <c r="E3427" s="123">
        <v>46006</v>
      </c>
      <c r="F3427" s="121" t="s">
        <v>67</v>
      </c>
      <c r="G3427" s="121">
        <v>3085.2476999999999</v>
      </c>
      <c r="H3427" s="124"/>
      <c r="I3427" s="125"/>
      <c r="J3427" s="125"/>
      <c r="K3427" s="125"/>
      <c r="L3427" s="121"/>
      <c r="M3427" s="126"/>
      <c r="N3427" s="121"/>
    </row>
    <row r="3428" spans="1:14" x14ac:dyDescent="0.25">
      <c r="A3428" s="121" t="s">
        <v>77</v>
      </c>
      <c r="B3428" s="121" t="s">
        <v>170</v>
      </c>
      <c r="C3428" s="62">
        <f>VLOOKUP(B3428,合并仓明细!$D$2:$F$74,3,0)</f>
        <v>481</v>
      </c>
      <c r="D3428" s="122" t="s">
        <v>25</v>
      </c>
      <c r="E3428" s="123">
        <v>46006</v>
      </c>
      <c r="F3428" s="121" t="s">
        <v>66</v>
      </c>
      <c r="G3428" s="121">
        <v>94.74</v>
      </c>
      <c r="H3428" s="124"/>
      <c r="I3428" s="125"/>
      <c r="J3428" s="125"/>
      <c r="K3428" s="125"/>
      <c r="L3428" s="121"/>
      <c r="M3428" s="126"/>
      <c r="N3428" s="121"/>
    </row>
    <row r="3429" spans="1:14" x14ac:dyDescent="0.25">
      <c r="A3429" s="121" t="s">
        <v>77</v>
      </c>
      <c r="B3429" s="121" t="s">
        <v>170</v>
      </c>
      <c r="C3429" s="62">
        <f>VLOOKUP(B3429,合并仓明细!$D$2:$F$74,3,0)</f>
        <v>481</v>
      </c>
      <c r="D3429" s="122" t="s">
        <v>25</v>
      </c>
      <c r="E3429" s="123">
        <v>46050</v>
      </c>
      <c r="F3429" s="121" t="s">
        <v>66</v>
      </c>
      <c r="G3429" s="121">
        <v>21.6</v>
      </c>
      <c r="H3429" s="124">
        <v>2.1600000000000001E-2</v>
      </c>
      <c r="I3429" s="125"/>
      <c r="J3429" s="125"/>
      <c r="K3429" s="125"/>
      <c r="L3429" s="37">
        <f>IF(H3429&gt;30,QUOTIENT(H3429,30)*VLOOKUP(D3429,'报价表-配送'!$B$75:$I$81,8,0),0)+IF(AND(MOD(H3429,30)&gt;18,MOD(H3429,30)&lt;=30),1,0)*VLOOKUP(D3429,'报价表-配送'!$B$75:$I$81,8,0)+IF(AND(MOD(H3429,30)&gt;8,MOD(H3429,30)&lt;=18),1*VLOOKUP(D3429,'报价表-配送'!$B$75:$I$81,7,0),0)+IF(AND(MOD(H3429,30)&lt;=8,MOD(H3429,30)&gt;2.5),1,0)*VLOOKUP(D3429,'报价表-配送'!$B$75:$I$81,6,0)+IF(AND(MOD(H3429,30)&lt;=2.5,MOD(H3429,30)&gt;=1.5),1,0)*VLOOKUP(D3429,'报价表-配送'!$B$75:$I$81,5,0)</f>
        <v>0</v>
      </c>
      <c r="M3429" s="39">
        <f>IF(AND(MOD(H3429,30)&lt;1.5,MOD(H3429,30)&gt;=0.5),H3429,0)*VLOOKUP(D3429,'报价表-配送'!$B$75:$I$81,4,0)*1000+IF(AND(MOD(H3429,30)&lt;0.5,MOD(H3429,30)&gt;=0.02),H3429,0)*VLOOKUP(D3429,'报价表-配送'!$B$75:$I$81,3,0)*1000+IF(AND(MOD(H3429,30)&lt;0.02),H3429,0)*VLOOKUP(D3429,'报价表-配送'!$B$75:$I$81,2,0)*1000</f>
        <v>0</v>
      </c>
      <c r="N3429" s="127">
        <f t="shared" ref="N3429:N3438" si="224">SUM(I3429:L3429)</f>
        <v>0</v>
      </c>
    </row>
    <row r="3430" spans="1:14" x14ac:dyDescent="0.25">
      <c r="A3430" s="121" t="s">
        <v>77</v>
      </c>
      <c r="B3430" s="121" t="s">
        <v>171</v>
      </c>
      <c r="C3430" s="62">
        <f>VLOOKUP(B3430,合并仓明细!$D$2:$F$74,3,0)</f>
        <v>360</v>
      </c>
      <c r="D3430" s="122" t="s">
        <v>410</v>
      </c>
      <c r="E3430" s="123">
        <v>45965</v>
      </c>
      <c r="F3430" s="121" t="s">
        <v>66</v>
      </c>
      <c r="G3430" s="121">
        <v>645.31212123</v>
      </c>
      <c r="H3430" s="124">
        <v>0.64531212123000004</v>
      </c>
      <c r="I3430" s="125"/>
      <c r="J3430" s="125"/>
      <c r="K3430" s="125"/>
      <c r="L3430" s="37">
        <f>IF(H3430&gt;30,QUOTIENT(H3430,30)*VLOOKUP(D3430,'报价表-配送'!$B$75:$I$81,8,0),0)+IF(AND(MOD(H3430,30)&gt;18,MOD(H3430,30)&lt;=30),1,0)*VLOOKUP(D3430,'报价表-配送'!$B$75:$I$81,8,0)+IF(AND(MOD(H3430,30)&gt;8,MOD(H3430,30)&lt;=18),1*VLOOKUP(D3430,'报价表-配送'!$B$75:$I$81,7,0),0)+IF(AND(MOD(H3430,30)&lt;=8,MOD(H3430,30)&gt;2.5),1,0)*VLOOKUP(D3430,'报价表-配送'!$B$75:$I$81,6,0)+IF(AND(MOD(H3430,30)&lt;=2.5,MOD(H3430,30)&gt;=1.5),1,0)*VLOOKUP(D3430,'报价表-配送'!$B$75:$I$81,5,0)</f>
        <v>0</v>
      </c>
      <c r="M3430" s="39">
        <f>IF(AND(MOD(H3430,30)&lt;1.5,MOD(H3430,30)&gt;=0.5),H3430,0)*VLOOKUP(D3430,'报价表-配送'!$B$75:$I$81,4,0)*1000+IF(AND(MOD(H3430,30)&lt;0.5,MOD(H3430,30)&gt;=0.02),H3430,0)*VLOOKUP(D3430,'报价表-配送'!$B$75:$I$81,3,0)*1000+IF(AND(MOD(H3430,30)&lt;0.02),H3430,0)*VLOOKUP(D3430,'报价表-配送'!$B$75:$I$81,2,0)*1000</f>
        <v>0</v>
      </c>
      <c r="N3430" s="127">
        <f t="shared" si="224"/>
        <v>0</v>
      </c>
    </row>
    <row r="3431" spans="1:14" x14ac:dyDescent="0.25">
      <c r="A3431" s="121" t="s">
        <v>77</v>
      </c>
      <c r="B3431" s="121" t="s">
        <v>171</v>
      </c>
      <c r="C3431" s="62">
        <f>VLOOKUP(B3431,合并仓明细!$D$2:$F$74,3,0)</f>
        <v>360</v>
      </c>
      <c r="D3431" s="122" t="s">
        <v>410</v>
      </c>
      <c r="E3431" s="123">
        <v>45972</v>
      </c>
      <c r="F3431" s="121" t="s">
        <v>66</v>
      </c>
      <c r="G3431" s="121">
        <v>11.4</v>
      </c>
      <c r="H3431" s="124">
        <v>1.14E-2</v>
      </c>
      <c r="I3431" s="125"/>
      <c r="J3431" s="125"/>
      <c r="K3431" s="125"/>
      <c r="L3431" s="37">
        <f>IF(H3431&gt;30,QUOTIENT(H3431,30)*VLOOKUP(D3431,'报价表-配送'!$B$75:$I$81,8,0),0)+IF(AND(MOD(H3431,30)&gt;18,MOD(H3431,30)&lt;=30),1,0)*VLOOKUP(D3431,'报价表-配送'!$B$75:$I$81,8,0)+IF(AND(MOD(H3431,30)&gt;8,MOD(H3431,30)&lt;=18),1*VLOOKUP(D3431,'报价表-配送'!$B$75:$I$81,7,0),0)+IF(AND(MOD(H3431,30)&lt;=8,MOD(H3431,30)&gt;2.5),1,0)*VLOOKUP(D3431,'报价表-配送'!$B$75:$I$81,6,0)+IF(AND(MOD(H3431,30)&lt;=2.5,MOD(H3431,30)&gt;=1.5),1,0)*VLOOKUP(D3431,'报价表-配送'!$B$75:$I$81,5,0)</f>
        <v>0</v>
      </c>
      <c r="M3431" s="39">
        <f>IF(AND(MOD(H3431,30)&lt;1.5,MOD(H3431,30)&gt;=0.5),H3431,0)*VLOOKUP(D3431,'报价表-配送'!$B$75:$I$81,4,0)*1000+IF(AND(MOD(H3431,30)&lt;0.5,MOD(H3431,30)&gt;=0.02),H3431,0)*VLOOKUP(D3431,'报价表-配送'!$B$75:$I$81,3,0)*1000+IF(AND(MOD(H3431,30)&lt;0.02),H3431,0)*VLOOKUP(D3431,'报价表-配送'!$B$75:$I$81,2,0)*1000</f>
        <v>0</v>
      </c>
      <c r="N3431" s="127">
        <f t="shared" si="224"/>
        <v>0</v>
      </c>
    </row>
    <row r="3432" spans="1:14" x14ac:dyDescent="0.25">
      <c r="A3432" s="121" t="s">
        <v>77</v>
      </c>
      <c r="B3432" s="121" t="s">
        <v>171</v>
      </c>
      <c r="C3432" s="62">
        <f>VLOOKUP(B3432,合并仓明细!$D$2:$F$74,3,0)</f>
        <v>360</v>
      </c>
      <c r="D3432" s="122" t="s">
        <v>410</v>
      </c>
      <c r="E3432" s="123">
        <v>46028</v>
      </c>
      <c r="F3432" s="121" t="s">
        <v>66</v>
      </c>
      <c r="G3432" s="121">
        <v>57.75666665</v>
      </c>
      <c r="H3432" s="124">
        <v>5.7756666649999996E-2</v>
      </c>
      <c r="I3432" s="125"/>
      <c r="J3432" s="125"/>
      <c r="K3432" s="125"/>
      <c r="L3432" s="37">
        <f>IF(H3432&gt;30,QUOTIENT(H3432,30)*VLOOKUP(D3432,'报价表-配送'!$B$75:$I$81,8,0),0)+IF(AND(MOD(H3432,30)&gt;18,MOD(H3432,30)&lt;=30),1,0)*VLOOKUP(D3432,'报价表-配送'!$B$75:$I$81,8,0)+IF(AND(MOD(H3432,30)&gt;8,MOD(H3432,30)&lt;=18),1*VLOOKUP(D3432,'报价表-配送'!$B$75:$I$81,7,0),0)+IF(AND(MOD(H3432,30)&lt;=8,MOD(H3432,30)&gt;2.5),1,0)*VLOOKUP(D3432,'报价表-配送'!$B$75:$I$81,6,0)+IF(AND(MOD(H3432,30)&lt;=2.5,MOD(H3432,30)&gt;=1.5),1,0)*VLOOKUP(D3432,'报价表-配送'!$B$75:$I$81,5,0)</f>
        <v>0</v>
      </c>
      <c r="M3432" s="39">
        <f>IF(AND(MOD(H3432,30)&lt;1.5,MOD(H3432,30)&gt;=0.5),H3432,0)*VLOOKUP(D3432,'报价表-配送'!$B$75:$I$81,4,0)*1000+IF(AND(MOD(H3432,30)&lt;0.5,MOD(H3432,30)&gt;=0.02),H3432,0)*VLOOKUP(D3432,'报价表-配送'!$B$75:$I$81,3,0)*1000+IF(AND(MOD(H3432,30)&lt;0.02),H3432,0)*VLOOKUP(D3432,'报价表-配送'!$B$75:$I$81,2,0)*1000</f>
        <v>0</v>
      </c>
      <c r="N3432" s="127">
        <f t="shared" si="224"/>
        <v>0</v>
      </c>
    </row>
    <row r="3433" spans="1:14" x14ac:dyDescent="0.25">
      <c r="A3433" s="121" t="s">
        <v>77</v>
      </c>
      <c r="B3433" s="121" t="s">
        <v>171</v>
      </c>
      <c r="C3433" s="62">
        <f>VLOOKUP(B3433,合并仓明细!$D$2:$F$74,3,0)</f>
        <v>360</v>
      </c>
      <c r="D3433" s="122" t="s">
        <v>410</v>
      </c>
      <c r="E3433" s="123">
        <v>46036</v>
      </c>
      <c r="F3433" s="121" t="s">
        <v>66</v>
      </c>
      <c r="G3433" s="121">
        <v>53.75</v>
      </c>
      <c r="H3433" s="124">
        <v>5.3749999999999999E-2</v>
      </c>
      <c r="I3433" s="125"/>
      <c r="J3433" s="125"/>
      <c r="K3433" s="125"/>
      <c r="L3433" s="37">
        <f>IF(H3433&gt;30,QUOTIENT(H3433,30)*VLOOKUP(D3433,'报价表-配送'!$B$75:$I$81,8,0),0)+IF(AND(MOD(H3433,30)&gt;18,MOD(H3433,30)&lt;=30),1,0)*VLOOKUP(D3433,'报价表-配送'!$B$75:$I$81,8,0)+IF(AND(MOD(H3433,30)&gt;8,MOD(H3433,30)&lt;=18),1*VLOOKUP(D3433,'报价表-配送'!$B$75:$I$81,7,0),0)+IF(AND(MOD(H3433,30)&lt;=8,MOD(H3433,30)&gt;2.5),1,0)*VLOOKUP(D3433,'报价表-配送'!$B$75:$I$81,6,0)+IF(AND(MOD(H3433,30)&lt;=2.5,MOD(H3433,30)&gt;=1.5),1,0)*VLOOKUP(D3433,'报价表-配送'!$B$75:$I$81,5,0)</f>
        <v>0</v>
      </c>
      <c r="M3433" s="39">
        <f>IF(AND(MOD(H3433,30)&lt;1.5,MOD(H3433,30)&gt;=0.5),H3433,0)*VLOOKUP(D3433,'报价表-配送'!$B$75:$I$81,4,0)*1000+IF(AND(MOD(H3433,30)&lt;0.5,MOD(H3433,30)&gt;=0.02),H3433,0)*VLOOKUP(D3433,'报价表-配送'!$B$75:$I$81,3,0)*1000+IF(AND(MOD(H3433,30)&lt;0.02),H3433,0)*VLOOKUP(D3433,'报价表-配送'!$B$75:$I$81,2,0)*1000</f>
        <v>0</v>
      </c>
      <c r="N3433" s="127">
        <f t="shared" si="224"/>
        <v>0</v>
      </c>
    </row>
    <row r="3434" spans="1:14" x14ac:dyDescent="0.25">
      <c r="A3434" s="121" t="s">
        <v>77</v>
      </c>
      <c r="B3434" s="121" t="s">
        <v>171</v>
      </c>
      <c r="C3434" s="62">
        <f>VLOOKUP(B3434,合并仓明细!$D$2:$F$74,3,0)</f>
        <v>360</v>
      </c>
      <c r="D3434" s="122" t="s">
        <v>410</v>
      </c>
      <c r="E3434" s="123">
        <v>46094</v>
      </c>
      <c r="F3434" s="121" t="s">
        <v>66</v>
      </c>
      <c r="G3434" s="121">
        <v>15.24</v>
      </c>
      <c r="H3434" s="124">
        <v>1.524E-2</v>
      </c>
      <c r="I3434" s="125"/>
      <c r="J3434" s="125"/>
      <c r="K3434" s="125"/>
      <c r="L3434" s="37">
        <f>IF(H3434&gt;30,QUOTIENT(H3434,30)*VLOOKUP(D3434,'报价表-配送'!$B$75:$I$81,8,0),0)+IF(AND(MOD(H3434,30)&gt;18,MOD(H3434,30)&lt;=30),1,0)*VLOOKUP(D3434,'报价表-配送'!$B$75:$I$81,8,0)+IF(AND(MOD(H3434,30)&gt;8,MOD(H3434,30)&lt;=18),1*VLOOKUP(D3434,'报价表-配送'!$B$75:$I$81,7,0),0)+IF(AND(MOD(H3434,30)&lt;=8,MOD(H3434,30)&gt;2.5),1,0)*VLOOKUP(D3434,'报价表-配送'!$B$75:$I$81,6,0)+IF(AND(MOD(H3434,30)&lt;=2.5,MOD(H3434,30)&gt;=1.5),1,0)*VLOOKUP(D3434,'报价表-配送'!$B$75:$I$81,5,0)</f>
        <v>0</v>
      </c>
      <c r="M3434" s="39">
        <f>IF(AND(MOD(H3434,30)&lt;1.5,MOD(H3434,30)&gt;=0.5),H3434,0)*VLOOKUP(D3434,'报价表-配送'!$B$75:$I$81,4,0)*1000+IF(AND(MOD(H3434,30)&lt;0.5,MOD(H3434,30)&gt;=0.02),H3434,0)*VLOOKUP(D3434,'报价表-配送'!$B$75:$I$81,3,0)*1000+IF(AND(MOD(H3434,30)&lt;0.02),H3434,0)*VLOOKUP(D3434,'报价表-配送'!$B$75:$I$81,2,0)*1000</f>
        <v>0</v>
      </c>
      <c r="N3434" s="127">
        <f t="shared" si="224"/>
        <v>0</v>
      </c>
    </row>
    <row r="3435" spans="1:14" x14ac:dyDescent="0.25">
      <c r="A3435" s="121" t="s">
        <v>79</v>
      </c>
      <c r="B3435" s="121" t="s">
        <v>167</v>
      </c>
      <c r="C3435" s="62">
        <f>VLOOKUP(B3435,合并仓明细!$D$2:$F$74,3,0)</f>
        <v>189</v>
      </c>
      <c r="D3435" s="122" t="s">
        <v>413</v>
      </c>
      <c r="E3435" s="123">
        <v>45945</v>
      </c>
      <c r="F3435" s="121" t="s">
        <v>66</v>
      </c>
      <c r="G3435" s="121">
        <v>320.99999904999993</v>
      </c>
      <c r="H3435" s="124">
        <v>0.32099999904999993</v>
      </c>
      <c r="I3435" s="125"/>
      <c r="J3435" s="125"/>
      <c r="K3435" s="125"/>
      <c r="L3435" s="37">
        <f>IF(H3435&gt;30,QUOTIENT(H3435,30)*VLOOKUP(D3435,'报价表-配送'!$B$40:$I$44,8,0),0)+IF(AND(MOD(H3435,30)&gt;18,MOD(H3435,30)&lt;=30),1,0)*VLOOKUP(D3435,'报价表-配送'!$B$40:$I$44,8,0)+IF(AND(MOD(H3435,30)&gt;8,MOD(H3435,30)&lt;=18),1*VLOOKUP(D3435,'报价表-配送'!$B$40:$I$44,7,0),0)+IF(AND(MOD(H3435,30)&lt;=8,MOD(H3435,30)&gt;2.5),1,0)*VLOOKUP(D3435,'报价表-配送'!$B$40:$I$44,6,0)+IF(AND(MOD(H3435,30)&lt;=2.5,MOD(H3435,30)&gt;=1.5),1,0)*VLOOKUP(D3435,'报价表-配送'!$B$40:$I$44,5,0)</f>
        <v>0</v>
      </c>
      <c r="M3435" s="39">
        <f>IF(AND(MOD(H3435,30)&lt;1.5,MOD(H3435,30)&gt;=0.5),H3435,0)*VLOOKUP(D3435,'报价表-配送'!$B$40:$I$44,4,0)*1000+IF(AND(MOD(H3435,30)&lt;0.5,MOD(H3435,30)&gt;=0.02),H3435,0)*VLOOKUP(D3435,'报价表-配送'!$B$40:$I$44,3,0)*1000+IF(AND(MOD(H3435,30)&lt;0.02),H3435,0)*VLOOKUP(D3435,'报价表-配送'!$B$40:$I$44,2,0)*1000</f>
        <v>0</v>
      </c>
      <c r="N3435" s="127">
        <f t="shared" si="224"/>
        <v>0</v>
      </c>
    </row>
    <row r="3436" spans="1:14" x14ac:dyDescent="0.25">
      <c r="A3436" s="121" t="s">
        <v>79</v>
      </c>
      <c r="B3436" s="121" t="s">
        <v>167</v>
      </c>
      <c r="C3436" s="62">
        <f>VLOOKUP(B3436,合并仓明细!$D$2:$F$74,3,0)</f>
        <v>189</v>
      </c>
      <c r="D3436" s="122" t="s">
        <v>413</v>
      </c>
      <c r="E3436" s="123">
        <v>45953</v>
      </c>
      <c r="F3436" s="121" t="s">
        <v>67</v>
      </c>
      <c r="G3436" s="121">
        <v>3758.2333799999997</v>
      </c>
      <c r="H3436" s="124">
        <v>3.7582333799999996</v>
      </c>
      <c r="I3436" s="38">
        <f>IF(H3436&gt;30,QUOTIENT(H3436,30)*VLOOKUP(D3436,'报价表-配送'!$B$40:$I$44,8,0),0)+IF(AND(MOD(H3436,30)&gt;18,MOD(H3436,30)&lt;=30),1,0)*VLOOKUP(D3436,'报价表-配送'!$B$40:$I$44,8,0)</f>
        <v>0</v>
      </c>
      <c r="J3436" s="38">
        <f>IF(AND(MOD(H3436,30)&gt;8,MOD(H3436,30)&lt;=18),1*VLOOKUP(D3436,'报价表-配送'!$B$40:$I$44,7,0),0)</f>
        <v>0</v>
      </c>
      <c r="K3436" s="38">
        <f>IF(AND(MOD(H3436,30)&lt;=8,MOD(H3436,30)&gt;0),1,0)*VLOOKUP(D3436,'报价表-配送'!$B$40:$I$44,6,0)</f>
        <v>0</v>
      </c>
      <c r="L3436" s="121"/>
      <c r="M3436" s="126"/>
      <c r="N3436" s="127">
        <f t="shared" si="224"/>
        <v>0</v>
      </c>
    </row>
    <row r="3437" spans="1:14" x14ac:dyDescent="0.25">
      <c r="A3437" s="121" t="s">
        <v>79</v>
      </c>
      <c r="B3437" s="121" t="s">
        <v>167</v>
      </c>
      <c r="C3437" s="62">
        <f>VLOOKUP(B3437,合并仓明细!$D$2:$F$74,3,0)</f>
        <v>189</v>
      </c>
      <c r="D3437" s="122" t="s">
        <v>413</v>
      </c>
      <c r="E3437" s="123">
        <v>45972</v>
      </c>
      <c r="F3437" s="121" t="s">
        <v>66</v>
      </c>
      <c r="G3437" s="121">
        <v>18.333333</v>
      </c>
      <c r="H3437" s="124">
        <v>1.8333333E-2</v>
      </c>
      <c r="I3437" s="125"/>
      <c r="J3437" s="125"/>
      <c r="K3437" s="125"/>
      <c r="L3437" s="37">
        <f>IF(H3437&gt;30,QUOTIENT(H3437,30)*VLOOKUP(D3437,'报价表-配送'!$B$40:$I$44,8,0),0)+IF(AND(MOD(H3437,30)&gt;18,MOD(H3437,30)&lt;=30),1,0)*VLOOKUP(D3437,'报价表-配送'!$B$40:$I$44,8,0)+IF(AND(MOD(H3437,30)&gt;8,MOD(H3437,30)&lt;=18),1*VLOOKUP(D3437,'报价表-配送'!$B$40:$I$44,7,0),0)+IF(AND(MOD(H3437,30)&lt;=8,MOD(H3437,30)&gt;2.5),1,0)*VLOOKUP(D3437,'报价表-配送'!$B$40:$I$44,6,0)+IF(AND(MOD(H3437,30)&lt;=2.5,MOD(H3437,30)&gt;=1.5),1,0)*VLOOKUP(D3437,'报价表-配送'!$B$40:$I$44,5,0)</f>
        <v>0</v>
      </c>
      <c r="M3437" s="39">
        <f>IF(AND(MOD(H3437,30)&lt;1.5,MOD(H3437,30)&gt;=0.5),H3437,0)*VLOOKUP(D3437,'报价表-配送'!$B$40:$I$44,4,0)*1000+IF(AND(MOD(H3437,30)&lt;0.5,MOD(H3437,30)&gt;=0.02),H3437,0)*VLOOKUP(D3437,'报价表-配送'!$B$40:$I$44,3,0)*1000+IF(AND(MOD(H3437,30)&lt;0.02),H3437,0)*VLOOKUP(D3437,'报价表-配送'!$B$40:$I$44,2,0)*1000</f>
        <v>0</v>
      </c>
      <c r="N3437" s="127">
        <f t="shared" si="224"/>
        <v>0</v>
      </c>
    </row>
    <row r="3438" spans="1:14" x14ac:dyDescent="0.25">
      <c r="A3438" s="121" t="s">
        <v>79</v>
      </c>
      <c r="B3438" s="121" t="s">
        <v>167</v>
      </c>
      <c r="C3438" s="62">
        <f>VLOOKUP(B3438,合并仓明细!$D$2:$F$74,3,0)</f>
        <v>189</v>
      </c>
      <c r="D3438" s="122" t="s">
        <v>413</v>
      </c>
      <c r="E3438" s="123">
        <v>46100</v>
      </c>
      <c r="F3438" s="121" t="s">
        <v>68</v>
      </c>
      <c r="G3438" s="121">
        <v>178.80072000000001</v>
      </c>
      <c r="H3438" s="124">
        <v>3.9454798132800004</v>
      </c>
      <c r="I3438" s="46">
        <f>ROUNDUP(H3438/30,0)*VLOOKUP(D3438,'报价表-配送'!$B$40:$I$44,8,0)</f>
        <v>0</v>
      </c>
      <c r="J3438" s="125"/>
      <c r="K3438" s="125"/>
      <c r="L3438" s="121"/>
      <c r="M3438" s="126"/>
      <c r="N3438" s="127">
        <f t="shared" si="224"/>
        <v>0</v>
      </c>
    </row>
    <row r="3439" spans="1:14" x14ac:dyDescent="0.25">
      <c r="A3439" s="121" t="s">
        <v>79</v>
      </c>
      <c r="B3439" s="121" t="s">
        <v>167</v>
      </c>
      <c r="C3439" s="62">
        <f>VLOOKUP(B3439,合并仓明细!$D$2:$F$74,3,0)</f>
        <v>189</v>
      </c>
      <c r="D3439" s="122" t="s">
        <v>413</v>
      </c>
      <c r="E3439" s="123">
        <v>46100</v>
      </c>
      <c r="F3439" s="121" t="s">
        <v>67</v>
      </c>
      <c r="G3439" s="121">
        <v>3210.8757600000004</v>
      </c>
      <c r="H3439" s="124"/>
      <c r="I3439" s="125"/>
      <c r="J3439" s="125"/>
      <c r="K3439" s="125"/>
      <c r="L3439" s="121"/>
      <c r="M3439" s="126"/>
      <c r="N3439" s="121"/>
    </row>
    <row r="3440" spans="1:14" x14ac:dyDescent="0.25">
      <c r="A3440" s="121" t="s">
        <v>79</v>
      </c>
      <c r="B3440" s="121" t="s">
        <v>167</v>
      </c>
      <c r="C3440" s="62">
        <f>VLOOKUP(B3440,合并仓明细!$D$2:$F$74,3,0)</f>
        <v>189</v>
      </c>
      <c r="D3440" s="122" t="s">
        <v>413</v>
      </c>
      <c r="E3440" s="123">
        <v>46100</v>
      </c>
      <c r="F3440" s="121" t="s">
        <v>66</v>
      </c>
      <c r="G3440" s="121">
        <v>555.80333328000006</v>
      </c>
      <c r="H3440" s="124"/>
      <c r="I3440" s="125"/>
      <c r="J3440" s="125"/>
      <c r="K3440" s="125"/>
      <c r="L3440" s="121"/>
      <c r="M3440" s="126"/>
      <c r="N3440" s="121"/>
    </row>
    <row r="3441" spans="1:14" x14ac:dyDescent="0.25">
      <c r="A3441" s="121" t="s">
        <v>79</v>
      </c>
      <c r="B3441" s="121" t="s">
        <v>168</v>
      </c>
      <c r="C3441" s="62">
        <f>VLOOKUP(B3441,合并仓明细!$D$2:$F$74,3,0)</f>
        <v>216</v>
      </c>
      <c r="D3441" s="122" t="s">
        <v>414</v>
      </c>
      <c r="E3441" s="123">
        <v>45943</v>
      </c>
      <c r="F3441" s="121" t="s">
        <v>67</v>
      </c>
      <c r="G3441" s="121">
        <v>2975.8304880000001</v>
      </c>
      <c r="H3441" s="124">
        <v>3.0318304880000002</v>
      </c>
      <c r="I3441" s="38">
        <f>IF(H3441&gt;30,QUOTIENT(H3441,30)*VLOOKUP(D3441,'报价表-配送'!$B$40:$I$44,8,0),0)+IF(AND(MOD(H3441,30)&gt;18,MOD(H3441,30)&lt;=30),1,0)*VLOOKUP(D3441,'报价表-配送'!$B$40:$I$44,8,0)</f>
        <v>0</v>
      </c>
      <c r="J3441" s="38">
        <f>IF(AND(MOD(H3441,30)&gt;8,MOD(H3441,30)&lt;=18),1*VLOOKUP(D3441,'报价表-配送'!$B$40:$I$44,7,0),0)</f>
        <v>0</v>
      </c>
      <c r="K3441" s="38">
        <f>IF(AND(MOD(H3441,30)&lt;=8,MOD(H3441,30)&gt;0),1,0)*VLOOKUP(D3441,'报价表-配送'!$B$40:$I$44,6,0)</f>
        <v>0</v>
      </c>
      <c r="L3441" s="121"/>
      <c r="M3441" s="126"/>
      <c r="N3441" s="127">
        <f t="shared" ref="N3441" si="225">SUM(I3441:L3441)</f>
        <v>0</v>
      </c>
    </row>
    <row r="3442" spans="1:14" x14ac:dyDescent="0.25">
      <c r="A3442" s="121" t="s">
        <v>79</v>
      </c>
      <c r="B3442" s="121" t="s">
        <v>168</v>
      </c>
      <c r="C3442" s="62">
        <f>VLOOKUP(B3442,合并仓明细!$D$2:$F$74,3,0)</f>
        <v>216</v>
      </c>
      <c r="D3442" s="122" t="s">
        <v>414</v>
      </c>
      <c r="E3442" s="123">
        <v>45943</v>
      </c>
      <c r="F3442" s="121" t="s">
        <v>66</v>
      </c>
      <c r="G3442" s="121">
        <v>56.000000000000007</v>
      </c>
      <c r="H3442" s="124"/>
      <c r="I3442" s="125"/>
      <c r="J3442" s="125"/>
      <c r="K3442" s="125"/>
      <c r="L3442" s="121"/>
      <c r="M3442" s="126"/>
      <c r="N3442" s="121"/>
    </row>
    <row r="3443" spans="1:14" x14ac:dyDescent="0.25">
      <c r="A3443" s="121" t="s">
        <v>79</v>
      </c>
      <c r="B3443" s="121" t="s">
        <v>168</v>
      </c>
      <c r="C3443" s="62">
        <f>VLOOKUP(B3443,合并仓明细!$D$2:$F$74,3,0)</f>
        <v>216</v>
      </c>
      <c r="D3443" s="122" t="s">
        <v>414</v>
      </c>
      <c r="E3443" s="123">
        <v>45951</v>
      </c>
      <c r="F3443" s="121" t="s">
        <v>66</v>
      </c>
      <c r="G3443" s="121">
        <v>1712.4175</v>
      </c>
      <c r="H3443" s="124">
        <v>1.7124174999999999</v>
      </c>
      <c r="I3443" s="125"/>
      <c r="J3443" s="125"/>
      <c r="K3443" s="125"/>
      <c r="L3443" s="37">
        <f>IF(H3443&gt;30,QUOTIENT(H3443,30)*VLOOKUP(D3443,'报价表-配送'!$B$40:$I$44,8,0),0)+IF(AND(MOD(H3443,30)&gt;18,MOD(H3443,30)&lt;=30),1,0)*VLOOKUP(D3443,'报价表-配送'!$B$40:$I$44,8,0)+IF(AND(MOD(H3443,30)&gt;8,MOD(H3443,30)&lt;=18),1*VLOOKUP(D3443,'报价表-配送'!$B$40:$I$44,7,0),0)+IF(AND(MOD(H3443,30)&lt;=8,MOD(H3443,30)&gt;2.5),1,0)*VLOOKUP(D3443,'报价表-配送'!$B$40:$I$44,6,0)+IF(AND(MOD(H3443,30)&lt;=2.5,MOD(H3443,30)&gt;=1.5),1,0)*VLOOKUP(D3443,'报价表-配送'!$B$40:$I$44,5,0)</f>
        <v>0</v>
      </c>
      <c r="M3443" s="39">
        <f>IF(AND(MOD(H3443,30)&lt;1.5,MOD(H3443,30)&gt;=0.5),H3443,0)*VLOOKUP(D3443,'报价表-配送'!$B$40:$I$44,4,0)*1000+IF(AND(MOD(H3443,30)&lt;0.5,MOD(H3443,30)&gt;=0.02),H3443,0)*VLOOKUP(D3443,'报价表-配送'!$B$40:$I$44,3,0)*1000+IF(AND(MOD(H3443,30)&lt;0.02),H3443,0)*VLOOKUP(D3443,'报价表-配送'!$B$40:$I$44,2,0)*1000</f>
        <v>0</v>
      </c>
      <c r="N3443" s="127">
        <f t="shared" ref="N3443:N3444" si="226">SUM(I3443:L3443)</f>
        <v>0</v>
      </c>
    </row>
    <row r="3444" spans="1:14" x14ac:dyDescent="0.25">
      <c r="A3444" s="121" t="s">
        <v>79</v>
      </c>
      <c r="B3444" s="121" t="s">
        <v>168</v>
      </c>
      <c r="C3444" s="62">
        <f>VLOOKUP(B3444,合并仓明细!$D$2:$F$74,3,0)</f>
        <v>216</v>
      </c>
      <c r="D3444" s="122" t="s">
        <v>414</v>
      </c>
      <c r="E3444" s="123">
        <v>45953</v>
      </c>
      <c r="F3444" s="121" t="s">
        <v>68</v>
      </c>
      <c r="G3444" s="121">
        <v>1094.4000000000001</v>
      </c>
      <c r="H3444" s="124">
        <v>2.9537968833100003</v>
      </c>
      <c r="I3444" s="46">
        <f>ROUNDUP(H3444/30,0)*VLOOKUP(D3444,'报价表-配送'!$B$40:$I$44,8,0)</f>
        <v>0</v>
      </c>
      <c r="J3444" s="125"/>
      <c r="K3444" s="125"/>
      <c r="L3444" s="121"/>
      <c r="M3444" s="126"/>
      <c r="N3444" s="127">
        <f t="shared" si="226"/>
        <v>0</v>
      </c>
    </row>
    <row r="3445" spans="1:14" x14ac:dyDescent="0.25">
      <c r="A3445" s="121" t="s">
        <v>79</v>
      </c>
      <c r="B3445" s="121" t="s">
        <v>168</v>
      </c>
      <c r="C3445" s="62">
        <f>VLOOKUP(B3445,合并仓明细!$D$2:$F$74,3,0)</f>
        <v>216</v>
      </c>
      <c r="D3445" s="122" t="s">
        <v>414</v>
      </c>
      <c r="E3445" s="123">
        <v>45953</v>
      </c>
      <c r="F3445" s="121" t="s">
        <v>67</v>
      </c>
      <c r="G3445" s="121">
        <v>654.50160000000005</v>
      </c>
      <c r="H3445" s="124"/>
      <c r="I3445" s="125"/>
      <c r="J3445" s="125"/>
      <c r="K3445" s="125"/>
      <c r="L3445" s="121"/>
      <c r="M3445" s="126"/>
      <c r="N3445" s="121"/>
    </row>
    <row r="3446" spans="1:14" x14ac:dyDescent="0.25">
      <c r="A3446" s="121" t="s">
        <v>79</v>
      </c>
      <c r="B3446" s="121" t="s">
        <v>168</v>
      </c>
      <c r="C3446" s="62">
        <f>VLOOKUP(B3446,合并仓明细!$D$2:$F$74,3,0)</f>
        <v>216</v>
      </c>
      <c r="D3446" s="122" t="s">
        <v>414</v>
      </c>
      <c r="E3446" s="123">
        <v>45953</v>
      </c>
      <c r="F3446" s="121" t="s">
        <v>66</v>
      </c>
      <c r="G3446" s="121">
        <v>1204.8952833100002</v>
      </c>
      <c r="H3446" s="124"/>
      <c r="I3446" s="125"/>
      <c r="J3446" s="125"/>
      <c r="K3446" s="125"/>
      <c r="L3446" s="121"/>
      <c r="M3446" s="126"/>
      <c r="N3446" s="121"/>
    </row>
    <row r="3447" spans="1:14" x14ac:dyDescent="0.25">
      <c r="A3447" s="121" t="s">
        <v>79</v>
      </c>
      <c r="B3447" s="121" t="s">
        <v>168</v>
      </c>
      <c r="C3447" s="62">
        <f>VLOOKUP(B3447,合并仓明细!$D$2:$F$74,3,0)</f>
        <v>216</v>
      </c>
      <c r="D3447" s="122" t="s">
        <v>414</v>
      </c>
      <c r="E3447" s="123">
        <v>45957</v>
      </c>
      <c r="F3447" s="121" t="s">
        <v>67</v>
      </c>
      <c r="G3447" s="121">
        <v>4060.9239839999996</v>
      </c>
      <c r="H3447" s="124">
        <v>8.1609239839999983</v>
      </c>
      <c r="I3447" s="38">
        <f>IF(H3447&gt;30,QUOTIENT(H3447,30)*VLOOKUP(D3447,'报价表-配送'!$B$40:$I$44,8,0),0)+IF(AND(MOD(H3447,30)&gt;18,MOD(H3447,30)&lt;=30),1,0)*VLOOKUP(D3447,'报价表-配送'!$B$40:$I$44,8,0)</f>
        <v>0</v>
      </c>
      <c r="J3447" s="38">
        <f>IF(AND(MOD(H3447,30)&gt;8,MOD(H3447,30)&lt;=18),1*VLOOKUP(D3447,'报价表-配送'!$B$40:$I$44,7,0),0)</f>
        <v>0</v>
      </c>
      <c r="K3447" s="38">
        <f>IF(AND(MOD(H3447,30)&lt;=8,MOD(H3447,30)&gt;0),1,0)*VLOOKUP(D3447,'报价表-配送'!$B$40:$I$44,6,0)</f>
        <v>0</v>
      </c>
      <c r="L3447" s="121"/>
      <c r="M3447" s="126"/>
      <c r="N3447" s="127">
        <f t="shared" ref="N3447" si="227">SUM(I3447:L3447)</f>
        <v>0</v>
      </c>
    </row>
    <row r="3448" spans="1:14" x14ac:dyDescent="0.25">
      <c r="A3448" s="121" t="s">
        <v>79</v>
      </c>
      <c r="B3448" s="121" t="s">
        <v>168</v>
      </c>
      <c r="C3448" s="62">
        <f>VLOOKUP(B3448,合并仓明细!$D$2:$F$74,3,0)</f>
        <v>216</v>
      </c>
      <c r="D3448" s="122" t="s">
        <v>414</v>
      </c>
      <c r="E3448" s="123">
        <v>45957</v>
      </c>
      <c r="F3448" s="121" t="s">
        <v>66</v>
      </c>
      <c r="G3448" s="121">
        <v>4100</v>
      </c>
      <c r="H3448" s="124"/>
      <c r="I3448" s="125"/>
      <c r="J3448" s="125"/>
      <c r="K3448" s="125"/>
      <c r="L3448" s="121"/>
      <c r="M3448" s="126"/>
      <c r="N3448" s="121"/>
    </row>
    <row r="3449" spans="1:14" x14ac:dyDescent="0.25">
      <c r="A3449" s="121" t="s">
        <v>79</v>
      </c>
      <c r="B3449" s="121" t="s">
        <v>168</v>
      </c>
      <c r="C3449" s="62">
        <f>VLOOKUP(B3449,合并仓明细!$D$2:$F$74,3,0)</f>
        <v>216</v>
      </c>
      <c r="D3449" s="122" t="s">
        <v>414</v>
      </c>
      <c r="E3449" s="123">
        <v>45965</v>
      </c>
      <c r="F3449" s="121" t="s">
        <v>66</v>
      </c>
      <c r="G3449" s="121">
        <v>2999.0983398500007</v>
      </c>
      <c r="H3449" s="124">
        <v>2.9990983398500006</v>
      </c>
      <c r="I3449" s="125"/>
      <c r="J3449" s="125"/>
      <c r="K3449" s="125"/>
      <c r="L3449" s="37">
        <f>IF(H3449&gt;30,QUOTIENT(H3449,30)*VLOOKUP(D3449,'报价表-配送'!$B$40:$I$44,8,0),0)+IF(AND(MOD(H3449,30)&gt;18,MOD(H3449,30)&lt;=30),1,0)*VLOOKUP(D3449,'报价表-配送'!$B$40:$I$44,8,0)+IF(AND(MOD(H3449,30)&gt;8,MOD(H3449,30)&lt;=18),1*VLOOKUP(D3449,'报价表-配送'!$B$40:$I$44,7,0),0)+IF(AND(MOD(H3449,30)&lt;=8,MOD(H3449,30)&gt;2.5),1,0)*VLOOKUP(D3449,'报价表-配送'!$B$40:$I$44,6,0)+IF(AND(MOD(H3449,30)&lt;=2.5,MOD(H3449,30)&gt;=1.5),1,0)*VLOOKUP(D3449,'报价表-配送'!$B$40:$I$44,5,0)</f>
        <v>0</v>
      </c>
      <c r="M3449" s="39">
        <f>IF(AND(MOD(H3449,30)&lt;1.5,MOD(H3449,30)&gt;=0.5),H3449,0)*VLOOKUP(D3449,'报价表-配送'!$B$40:$I$44,4,0)*1000+IF(AND(MOD(H3449,30)&lt;0.5,MOD(H3449,30)&gt;=0.02),H3449,0)*VLOOKUP(D3449,'报价表-配送'!$B$40:$I$44,3,0)*1000+IF(AND(MOD(H3449,30)&lt;0.02),H3449,0)*VLOOKUP(D3449,'报价表-配送'!$B$40:$I$44,2,0)*1000</f>
        <v>0</v>
      </c>
      <c r="N3449" s="127">
        <f t="shared" ref="N3449:N3450" si="228">SUM(I3449:L3449)</f>
        <v>0</v>
      </c>
    </row>
    <row r="3450" spans="1:14" x14ac:dyDescent="0.25">
      <c r="A3450" s="121" t="s">
        <v>79</v>
      </c>
      <c r="B3450" s="121" t="s">
        <v>168</v>
      </c>
      <c r="C3450" s="62">
        <f>VLOOKUP(B3450,合并仓明细!$D$2:$F$74,3,0)</f>
        <v>216</v>
      </c>
      <c r="D3450" s="122" t="s">
        <v>414</v>
      </c>
      <c r="E3450" s="123">
        <v>45967</v>
      </c>
      <c r="F3450" s="121" t="s">
        <v>68</v>
      </c>
      <c r="G3450" s="121">
        <v>6135.4629600000007</v>
      </c>
      <c r="H3450" s="124">
        <v>10.20544805366</v>
      </c>
      <c r="I3450" s="46">
        <f>ROUNDUP(H3450/30,0)*VLOOKUP(D3450,'报价表-配送'!$B$40:$I$44,8,0)</f>
        <v>0</v>
      </c>
      <c r="J3450" s="125"/>
      <c r="K3450" s="125"/>
      <c r="L3450" s="121"/>
      <c r="M3450" s="126"/>
      <c r="N3450" s="127">
        <f t="shared" si="228"/>
        <v>0</v>
      </c>
    </row>
    <row r="3451" spans="1:14" x14ac:dyDescent="0.25">
      <c r="A3451" s="121" t="s">
        <v>79</v>
      </c>
      <c r="B3451" s="121" t="s">
        <v>168</v>
      </c>
      <c r="C3451" s="62">
        <f>VLOOKUP(B3451,合并仓明细!$D$2:$F$74,3,0)</f>
        <v>216</v>
      </c>
      <c r="D3451" s="122" t="s">
        <v>414</v>
      </c>
      <c r="E3451" s="123">
        <v>45967</v>
      </c>
      <c r="F3451" s="121" t="s">
        <v>67</v>
      </c>
      <c r="G3451" s="121">
        <v>3935.2534270000001</v>
      </c>
      <c r="H3451" s="124"/>
      <c r="I3451" s="125"/>
      <c r="J3451" s="125"/>
      <c r="K3451" s="125"/>
      <c r="L3451" s="121"/>
      <c r="M3451" s="126"/>
      <c r="N3451" s="121"/>
    </row>
    <row r="3452" spans="1:14" x14ac:dyDescent="0.25">
      <c r="A3452" s="121" t="s">
        <v>79</v>
      </c>
      <c r="B3452" s="121" t="s">
        <v>168</v>
      </c>
      <c r="C3452" s="62">
        <f>VLOOKUP(B3452,合并仓明细!$D$2:$F$74,3,0)</f>
        <v>216</v>
      </c>
      <c r="D3452" s="122" t="s">
        <v>414</v>
      </c>
      <c r="E3452" s="123">
        <v>45967</v>
      </c>
      <c r="F3452" s="121" t="s">
        <v>66</v>
      </c>
      <c r="G3452" s="121">
        <v>134.73166666</v>
      </c>
      <c r="H3452" s="124"/>
      <c r="I3452" s="125"/>
      <c r="J3452" s="125"/>
      <c r="K3452" s="125"/>
      <c r="L3452" s="121"/>
      <c r="M3452" s="126"/>
      <c r="N3452" s="121"/>
    </row>
    <row r="3453" spans="1:14" x14ac:dyDescent="0.25">
      <c r="A3453" s="121" t="s">
        <v>79</v>
      </c>
      <c r="B3453" s="121" t="s">
        <v>168</v>
      </c>
      <c r="C3453" s="62">
        <f>VLOOKUP(B3453,合并仓明细!$D$2:$F$74,3,0)</f>
        <v>216</v>
      </c>
      <c r="D3453" s="122" t="s">
        <v>414</v>
      </c>
      <c r="E3453" s="123">
        <v>45971</v>
      </c>
      <c r="F3453" s="121" t="s">
        <v>66</v>
      </c>
      <c r="G3453" s="121">
        <v>547.63833323999995</v>
      </c>
      <c r="H3453" s="124">
        <v>0.54763833324</v>
      </c>
      <c r="I3453" s="125"/>
      <c r="J3453" s="125"/>
      <c r="K3453" s="125"/>
      <c r="L3453" s="37">
        <f>IF(H3453&gt;30,QUOTIENT(H3453,30)*VLOOKUP(D3453,'报价表-配送'!$B$40:$I$44,8,0),0)+IF(AND(MOD(H3453,30)&gt;18,MOD(H3453,30)&lt;=30),1,0)*VLOOKUP(D3453,'报价表-配送'!$B$40:$I$44,8,0)+IF(AND(MOD(H3453,30)&gt;8,MOD(H3453,30)&lt;=18),1*VLOOKUP(D3453,'报价表-配送'!$B$40:$I$44,7,0),0)+IF(AND(MOD(H3453,30)&lt;=8,MOD(H3453,30)&gt;2.5),1,0)*VLOOKUP(D3453,'报价表-配送'!$B$40:$I$44,6,0)+IF(AND(MOD(H3453,30)&lt;=2.5,MOD(H3453,30)&gt;=1.5),1,0)*VLOOKUP(D3453,'报价表-配送'!$B$40:$I$44,5,0)</f>
        <v>0</v>
      </c>
      <c r="M3453" s="39">
        <f>IF(AND(MOD(H3453,30)&lt;1.5,MOD(H3453,30)&gt;=0.5),H3453,0)*VLOOKUP(D3453,'报价表-配送'!$B$40:$I$44,4,0)*1000+IF(AND(MOD(H3453,30)&lt;0.5,MOD(H3453,30)&gt;=0.02),H3453,0)*VLOOKUP(D3453,'报价表-配送'!$B$40:$I$44,3,0)*1000+IF(AND(MOD(H3453,30)&lt;0.02),H3453,0)*VLOOKUP(D3453,'报价表-配送'!$B$40:$I$44,2,0)*1000</f>
        <v>0</v>
      </c>
      <c r="N3453" s="127">
        <f t="shared" ref="N3453:N3456" si="229">SUM(I3453:L3453)</f>
        <v>0</v>
      </c>
    </row>
    <row r="3454" spans="1:14" x14ac:dyDescent="0.25">
      <c r="A3454" s="121" t="s">
        <v>79</v>
      </c>
      <c r="B3454" s="121" t="s">
        <v>168</v>
      </c>
      <c r="C3454" s="62">
        <f>VLOOKUP(B3454,合并仓明细!$D$2:$F$74,3,0)</f>
        <v>216</v>
      </c>
      <c r="D3454" s="122" t="s">
        <v>414</v>
      </c>
      <c r="E3454" s="123">
        <v>45974</v>
      </c>
      <c r="F3454" s="121" t="s">
        <v>66</v>
      </c>
      <c r="G3454" s="121">
        <v>717.51446998999995</v>
      </c>
      <c r="H3454" s="124">
        <v>0.7175144699899999</v>
      </c>
      <c r="I3454" s="125"/>
      <c r="J3454" s="125"/>
      <c r="K3454" s="125"/>
      <c r="L3454" s="37">
        <f>IF(H3454&gt;30,QUOTIENT(H3454,30)*VLOOKUP(D3454,'报价表-配送'!$B$40:$I$44,8,0),0)+IF(AND(MOD(H3454,30)&gt;18,MOD(H3454,30)&lt;=30),1,0)*VLOOKUP(D3454,'报价表-配送'!$B$40:$I$44,8,0)+IF(AND(MOD(H3454,30)&gt;8,MOD(H3454,30)&lt;=18),1*VLOOKUP(D3454,'报价表-配送'!$B$40:$I$44,7,0),0)+IF(AND(MOD(H3454,30)&lt;=8,MOD(H3454,30)&gt;2.5),1,0)*VLOOKUP(D3454,'报价表-配送'!$B$40:$I$44,6,0)+IF(AND(MOD(H3454,30)&lt;=2.5,MOD(H3454,30)&gt;=1.5),1,0)*VLOOKUP(D3454,'报价表-配送'!$B$40:$I$44,5,0)</f>
        <v>0</v>
      </c>
      <c r="M3454" s="39">
        <f>IF(AND(MOD(H3454,30)&lt;1.5,MOD(H3454,30)&gt;=0.5),H3454,0)*VLOOKUP(D3454,'报价表-配送'!$B$40:$I$44,4,0)*1000+IF(AND(MOD(H3454,30)&lt;0.5,MOD(H3454,30)&gt;=0.02),H3454,0)*VLOOKUP(D3454,'报价表-配送'!$B$40:$I$44,3,0)*1000+IF(AND(MOD(H3454,30)&lt;0.02),H3454,0)*VLOOKUP(D3454,'报价表-配送'!$B$40:$I$44,2,0)*1000</f>
        <v>0</v>
      </c>
      <c r="N3454" s="127">
        <f t="shared" si="229"/>
        <v>0</v>
      </c>
    </row>
    <row r="3455" spans="1:14" x14ac:dyDescent="0.25">
      <c r="A3455" s="121" t="s">
        <v>79</v>
      </c>
      <c r="B3455" s="121" t="s">
        <v>168</v>
      </c>
      <c r="C3455" s="62">
        <f>VLOOKUP(B3455,合并仓明细!$D$2:$F$74,3,0)</f>
        <v>216</v>
      </c>
      <c r="D3455" s="122" t="s">
        <v>414</v>
      </c>
      <c r="E3455" s="123">
        <v>45980</v>
      </c>
      <c r="F3455" s="121" t="s">
        <v>66</v>
      </c>
      <c r="G3455" s="121">
        <v>1801.6899999999998</v>
      </c>
      <c r="H3455" s="124">
        <v>1.8016899999999998</v>
      </c>
      <c r="I3455" s="125"/>
      <c r="J3455" s="125"/>
      <c r="K3455" s="125"/>
      <c r="L3455" s="37">
        <f>IF(H3455&gt;30,QUOTIENT(H3455,30)*VLOOKUP(D3455,'报价表-配送'!$B$40:$I$44,8,0),0)+IF(AND(MOD(H3455,30)&gt;18,MOD(H3455,30)&lt;=30),1,0)*VLOOKUP(D3455,'报价表-配送'!$B$40:$I$44,8,0)+IF(AND(MOD(H3455,30)&gt;8,MOD(H3455,30)&lt;=18),1*VLOOKUP(D3455,'报价表-配送'!$B$40:$I$44,7,0),0)+IF(AND(MOD(H3455,30)&lt;=8,MOD(H3455,30)&gt;2.5),1,0)*VLOOKUP(D3455,'报价表-配送'!$B$40:$I$44,6,0)+IF(AND(MOD(H3455,30)&lt;=2.5,MOD(H3455,30)&gt;=1.5),1,0)*VLOOKUP(D3455,'报价表-配送'!$B$40:$I$44,5,0)</f>
        <v>0</v>
      </c>
      <c r="M3455" s="39">
        <f>IF(AND(MOD(H3455,30)&lt;1.5,MOD(H3455,30)&gt;=0.5),H3455,0)*VLOOKUP(D3455,'报价表-配送'!$B$40:$I$44,4,0)*1000+IF(AND(MOD(H3455,30)&lt;0.5,MOD(H3455,30)&gt;=0.02),H3455,0)*VLOOKUP(D3455,'报价表-配送'!$B$40:$I$44,3,0)*1000+IF(AND(MOD(H3455,30)&lt;0.02),H3455,0)*VLOOKUP(D3455,'报价表-配送'!$B$40:$I$44,2,0)*1000</f>
        <v>0</v>
      </c>
      <c r="N3455" s="127">
        <f t="shared" si="229"/>
        <v>0</v>
      </c>
    </row>
    <row r="3456" spans="1:14" x14ac:dyDescent="0.25">
      <c r="A3456" s="121" t="s">
        <v>79</v>
      </c>
      <c r="B3456" s="121" t="s">
        <v>168</v>
      </c>
      <c r="C3456" s="62">
        <f>VLOOKUP(B3456,合并仓明细!$D$2:$F$74,3,0)</f>
        <v>216</v>
      </c>
      <c r="D3456" s="122" t="s">
        <v>414</v>
      </c>
      <c r="E3456" s="123">
        <v>45987</v>
      </c>
      <c r="F3456" s="121" t="s">
        <v>68</v>
      </c>
      <c r="G3456" s="121">
        <v>469.10975999999994</v>
      </c>
      <c r="H3456" s="124">
        <v>10.778337879999997</v>
      </c>
      <c r="I3456" s="46">
        <f>ROUNDUP(H3456/30,0)*VLOOKUP(D3456,'报价表-配送'!$B$40:$I$44,8,0)</f>
        <v>0</v>
      </c>
      <c r="J3456" s="125"/>
      <c r="K3456" s="125"/>
      <c r="L3456" s="121"/>
      <c r="M3456" s="126"/>
      <c r="N3456" s="127">
        <f t="shared" si="229"/>
        <v>0</v>
      </c>
    </row>
    <row r="3457" spans="1:14" x14ac:dyDescent="0.25">
      <c r="A3457" s="121" t="s">
        <v>79</v>
      </c>
      <c r="B3457" s="121" t="s">
        <v>168</v>
      </c>
      <c r="C3457" s="62">
        <f>VLOOKUP(B3457,合并仓明细!$D$2:$F$74,3,0)</f>
        <v>216</v>
      </c>
      <c r="D3457" s="122" t="s">
        <v>414</v>
      </c>
      <c r="E3457" s="123">
        <v>45987</v>
      </c>
      <c r="F3457" s="121" t="s">
        <v>67</v>
      </c>
      <c r="G3457" s="121">
        <v>8825.4081199999982</v>
      </c>
      <c r="H3457" s="124"/>
      <c r="I3457" s="125"/>
      <c r="J3457" s="125"/>
      <c r="K3457" s="125"/>
      <c r="L3457" s="121"/>
      <c r="M3457" s="126"/>
      <c r="N3457" s="121"/>
    </row>
    <row r="3458" spans="1:14" x14ac:dyDescent="0.25">
      <c r="A3458" s="121" t="s">
        <v>79</v>
      </c>
      <c r="B3458" s="121" t="s">
        <v>168</v>
      </c>
      <c r="C3458" s="62">
        <f>VLOOKUP(B3458,合并仓明细!$D$2:$F$74,3,0)</f>
        <v>216</v>
      </c>
      <c r="D3458" s="122" t="s">
        <v>414</v>
      </c>
      <c r="E3458" s="123">
        <v>45987</v>
      </c>
      <c r="F3458" s="121" t="s">
        <v>66</v>
      </c>
      <c r="G3458" s="121">
        <v>1483.8200000000002</v>
      </c>
      <c r="H3458" s="124"/>
      <c r="I3458" s="125"/>
      <c r="J3458" s="125"/>
      <c r="K3458" s="125"/>
      <c r="L3458" s="121"/>
      <c r="M3458" s="126"/>
      <c r="N3458" s="121"/>
    </row>
    <row r="3459" spans="1:14" x14ac:dyDescent="0.25">
      <c r="A3459" s="121" t="s">
        <v>79</v>
      </c>
      <c r="B3459" s="121" t="s">
        <v>168</v>
      </c>
      <c r="C3459" s="62">
        <f>VLOOKUP(B3459,合并仓明细!$D$2:$F$74,3,0)</f>
        <v>216</v>
      </c>
      <c r="D3459" s="122" t="s">
        <v>414</v>
      </c>
      <c r="E3459" s="123">
        <v>46000</v>
      </c>
      <c r="F3459" s="121" t="s">
        <v>66</v>
      </c>
      <c r="G3459" s="121">
        <v>435.3</v>
      </c>
      <c r="H3459" s="124">
        <v>0.43530000000000002</v>
      </c>
      <c r="I3459" s="125"/>
      <c r="J3459" s="125"/>
      <c r="K3459" s="125"/>
      <c r="L3459" s="37">
        <f>IF(H3459&gt;30,QUOTIENT(H3459,30)*VLOOKUP(D3459,'报价表-配送'!$B$40:$I$44,8,0),0)+IF(AND(MOD(H3459,30)&gt;18,MOD(H3459,30)&lt;=30),1,0)*VLOOKUP(D3459,'报价表-配送'!$B$40:$I$44,8,0)+IF(AND(MOD(H3459,30)&gt;8,MOD(H3459,30)&lt;=18),1*VLOOKUP(D3459,'报价表-配送'!$B$40:$I$44,7,0),0)+IF(AND(MOD(H3459,30)&lt;=8,MOD(H3459,30)&gt;2.5),1,0)*VLOOKUP(D3459,'报价表-配送'!$B$40:$I$44,6,0)+IF(AND(MOD(H3459,30)&lt;=2.5,MOD(H3459,30)&gt;=1.5),1,0)*VLOOKUP(D3459,'报价表-配送'!$B$40:$I$44,5,0)</f>
        <v>0</v>
      </c>
      <c r="M3459" s="39">
        <f>IF(AND(MOD(H3459,30)&lt;1.5,MOD(H3459,30)&gt;=0.5),H3459,0)*VLOOKUP(D3459,'报价表-配送'!$B$40:$I$44,4,0)*1000+IF(AND(MOD(H3459,30)&lt;0.5,MOD(H3459,30)&gt;=0.02),H3459,0)*VLOOKUP(D3459,'报价表-配送'!$B$40:$I$44,3,0)*1000+IF(AND(MOD(H3459,30)&lt;0.02),H3459,0)*VLOOKUP(D3459,'报价表-配送'!$B$40:$I$44,2,0)*1000</f>
        <v>0</v>
      </c>
      <c r="N3459" s="127">
        <f t="shared" ref="N3459:N3460" si="230">SUM(I3459:L3459)</f>
        <v>0</v>
      </c>
    </row>
    <row r="3460" spans="1:14" x14ac:dyDescent="0.25">
      <c r="A3460" s="121" t="s">
        <v>79</v>
      </c>
      <c r="B3460" s="121" t="s">
        <v>168</v>
      </c>
      <c r="C3460" s="62">
        <f>VLOOKUP(B3460,合并仓明细!$D$2:$F$74,3,0)</f>
        <v>216</v>
      </c>
      <c r="D3460" s="122" t="s">
        <v>414</v>
      </c>
      <c r="E3460" s="123">
        <v>46006</v>
      </c>
      <c r="F3460" s="121" t="s">
        <v>67</v>
      </c>
      <c r="G3460" s="121">
        <v>40</v>
      </c>
      <c r="H3460" s="124">
        <v>0.13</v>
      </c>
      <c r="I3460" s="38">
        <f>IF(H3460&gt;30,QUOTIENT(H3460,30)*VLOOKUP(D3460,'报价表-配送'!$B$40:$I$44,8,0),0)+IF(AND(MOD(H3460,30)&gt;18,MOD(H3460,30)&lt;=30),1,0)*VLOOKUP(D3460,'报价表-配送'!$B$40:$I$44,8,0)</f>
        <v>0</v>
      </c>
      <c r="J3460" s="38">
        <f>IF(AND(MOD(H3460,30)&gt;8,MOD(H3460,30)&lt;=18),1*VLOOKUP(D3460,'报价表-配送'!$B$40:$I$44,7,0),0)</f>
        <v>0</v>
      </c>
      <c r="K3460" s="38">
        <f>IF(AND(MOD(H3460,30)&lt;=8,MOD(H3460,30)&gt;0),1,0)*VLOOKUP(D3460,'报价表-配送'!$B$40:$I$44,6,0)</f>
        <v>0</v>
      </c>
      <c r="L3460" s="121"/>
      <c r="M3460" s="126"/>
      <c r="N3460" s="127">
        <f t="shared" si="230"/>
        <v>0</v>
      </c>
    </row>
    <row r="3461" spans="1:14" x14ac:dyDescent="0.25">
      <c r="A3461" s="121" t="s">
        <v>79</v>
      </c>
      <c r="B3461" s="121" t="s">
        <v>168</v>
      </c>
      <c r="C3461" s="62">
        <f>VLOOKUP(B3461,合并仓明细!$D$2:$F$74,3,0)</f>
        <v>216</v>
      </c>
      <c r="D3461" s="122" t="s">
        <v>414</v>
      </c>
      <c r="E3461" s="123">
        <v>46006</v>
      </c>
      <c r="F3461" s="121" t="s">
        <v>66</v>
      </c>
      <c r="G3461" s="121">
        <v>90</v>
      </c>
      <c r="H3461" s="124"/>
      <c r="I3461" s="125"/>
      <c r="J3461" s="125"/>
      <c r="K3461" s="125"/>
      <c r="L3461" s="121"/>
      <c r="M3461" s="126"/>
      <c r="N3461" s="121"/>
    </row>
    <row r="3462" spans="1:14" x14ac:dyDescent="0.25">
      <c r="A3462" s="121" t="s">
        <v>79</v>
      </c>
      <c r="B3462" s="121" t="s">
        <v>168</v>
      </c>
      <c r="C3462" s="62">
        <f>VLOOKUP(B3462,合并仓明细!$D$2:$F$74,3,0)</f>
        <v>216</v>
      </c>
      <c r="D3462" s="122" t="s">
        <v>414</v>
      </c>
      <c r="E3462" s="123">
        <v>46009</v>
      </c>
      <c r="F3462" s="121" t="s">
        <v>66</v>
      </c>
      <c r="G3462" s="121">
        <v>168.11</v>
      </c>
      <c r="H3462" s="124">
        <v>0.16811000000000001</v>
      </c>
      <c r="I3462" s="125"/>
      <c r="J3462" s="125"/>
      <c r="K3462" s="125"/>
      <c r="L3462" s="37">
        <f>IF(H3462&gt;30,QUOTIENT(H3462,30)*VLOOKUP(D3462,'报价表-配送'!$B$40:$I$44,8,0),0)+IF(AND(MOD(H3462,30)&gt;18,MOD(H3462,30)&lt;=30),1,0)*VLOOKUP(D3462,'报价表-配送'!$B$40:$I$44,8,0)+IF(AND(MOD(H3462,30)&gt;8,MOD(H3462,30)&lt;=18),1*VLOOKUP(D3462,'报价表-配送'!$B$40:$I$44,7,0),0)+IF(AND(MOD(H3462,30)&lt;=8,MOD(H3462,30)&gt;2.5),1,0)*VLOOKUP(D3462,'报价表-配送'!$B$40:$I$44,6,0)+IF(AND(MOD(H3462,30)&lt;=2.5,MOD(H3462,30)&gt;=1.5),1,0)*VLOOKUP(D3462,'报价表-配送'!$B$40:$I$44,5,0)</f>
        <v>0</v>
      </c>
      <c r="M3462" s="39">
        <f>IF(AND(MOD(H3462,30)&lt;1.5,MOD(H3462,30)&gt;=0.5),H3462,0)*VLOOKUP(D3462,'报价表-配送'!$B$40:$I$44,4,0)*1000+IF(AND(MOD(H3462,30)&lt;0.5,MOD(H3462,30)&gt;=0.02),H3462,0)*VLOOKUP(D3462,'报价表-配送'!$B$40:$I$44,3,0)*1000+IF(AND(MOD(H3462,30)&lt;0.02),H3462,0)*VLOOKUP(D3462,'报价表-配送'!$B$40:$I$44,2,0)*1000</f>
        <v>0</v>
      </c>
      <c r="N3462" s="127">
        <f t="shared" ref="N3462:N3474" si="231">SUM(I3462:L3462)</f>
        <v>0</v>
      </c>
    </row>
    <row r="3463" spans="1:14" x14ac:dyDescent="0.25">
      <c r="A3463" s="121" t="s">
        <v>79</v>
      </c>
      <c r="B3463" s="121" t="s">
        <v>168</v>
      </c>
      <c r="C3463" s="62">
        <f>VLOOKUP(B3463,合并仓明细!$D$2:$F$74,3,0)</f>
        <v>216</v>
      </c>
      <c r="D3463" s="122" t="s">
        <v>414</v>
      </c>
      <c r="E3463" s="123">
        <v>46013</v>
      </c>
      <c r="F3463" s="121" t="s">
        <v>66</v>
      </c>
      <c r="G3463" s="121">
        <v>198.80000000000004</v>
      </c>
      <c r="H3463" s="124">
        <v>0.19880000000000003</v>
      </c>
      <c r="I3463" s="125"/>
      <c r="J3463" s="125"/>
      <c r="K3463" s="125"/>
      <c r="L3463" s="37">
        <f>IF(H3463&gt;30,QUOTIENT(H3463,30)*VLOOKUP(D3463,'报价表-配送'!$B$40:$I$44,8,0),0)+IF(AND(MOD(H3463,30)&gt;18,MOD(H3463,30)&lt;=30),1,0)*VLOOKUP(D3463,'报价表-配送'!$B$40:$I$44,8,0)+IF(AND(MOD(H3463,30)&gt;8,MOD(H3463,30)&lt;=18),1*VLOOKUP(D3463,'报价表-配送'!$B$40:$I$44,7,0),0)+IF(AND(MOD(H3463,30)&lt;=8,MOD(H3463,30)&gt;2.5),1,0)*VLOOKUP(D3463,'报价表-配送'!$B$40:$I$44,6,0)+IF(AND(MOD(H3463,30)&lt;=2.5,MOD(H3463,30)&gt;=1.5),1,0)*VLOOKUP(D3463,'报价表-配送'!$B$40:$I$44,5,0)</f>
        <v>0</v>
      </c>
      <c r="M3463" s="39">
        <f>IF(AND(MOD(H3463,30)&lt;1.5,MOD(H3463,30)&gt;=0.5),H3463,0)*VLOOKUP(D3463,'报价表-配送'!$B$40:$I$44,4,0)*1000+IF(AND(MOD(H3463,30)&lt;0.5,MOD(H3463,30)&gt;=0.02),H3463,0)*VLOOKUP(D3463,'报价表-配送'!$B$40:$I$44,3,0)*1000+IF(AND(MOD(H3463,30)&lt;0.02),H3463,0)*VLOOKUP(D3463,'报价表-配送'!$B$40:$I$44,2,0)*1000</f>
        <v>0</v>
      </c>
      <c r="N3463" s="127">
        <f t="shared" si="231"/>
        <v>0</v>
      </c>
    </row>
    <row r="3464" spans="1:14" x14ac:dyDescent="0.25">
      <c r="A3464" s="121" t="s">
        <v>79</v>
      </c>
      <c r="B3464" s="121" t="s">
        <v>168</v>
      </c>
      <c r="C3464" s="62">
        <f>VLOOKUP(B3464,合并仓明细!$D$2:$F$74,3,0)</f>
        <v>216</v>
      </c>
      <c r="D3464" s="122" t="s">
        <v>414</v>
      </c>
      <c r="E3464" s="123">
        <v>46016</v>
      </c>
      <c r="F3464" s="121" t="s">
        <v>66</v>
      </c>
      <c r="G3464" s="121">
        <v>1686.1110000000001</v>
      </c>
      <c r="H3464" s="124">
        <v>1.6861110000000001</v>
      </c>
      <c r="I3464" s="125"/>
      <c r="J3464" s="125"/>
      <c r="K3464" s="125"/>
      <c r="L3464" s="37">
        <f>IF(H3464&gt;30,QUOTIENT(H3464,30)*VLOOKUP(D3464,'报价表-配送'!$B$40:$I$44,8,0),0)+IF(AND(MOD(H3464,30)&gt;18,MOD(H3464,30)&lt;=30),1,0)*VLOOKUP(D3464,'报价表-配送'!$B$40:$I$44,8,0)+IF(AND(MOD(H3464,30)&gt;8,MOD(H3464,30)&lt;=18),1*VLOOKUP(D3464,'报价表-配送'!$B$40:$I$44,7,0),0)+IF(AND(MOD(H3464,30)&lt;=8,MOD(H3464,30)&gt;2.5),1,0)*VLOOKUP(D3464,'报价表-配送'!$B$40:$I$44,6,0)+IF(AND(MOD(H3464,30)&lt;=2.5,MOD(H3464,30)&gt;=1.5),1,0)*VLOOKUP(D3464,'报价表-配送'!$B$40:$I$44,5,0)</f>
        <v>0</v>
      </c>
      <c r="M3464" s="39">
        <f>IF(AND(MOD(H3464,30)&lt;1.5,MOD(H3464,30)&gt;=0.5),H3464,0)*VLOOKUP(D3464,'报价表-配送'!$B$40:$I$44,4,0)*1000+IF(AND(MOD(H3464,30)&lt;0.5,MOD(H3464,30)&gt;=0.02),H3464,0)*VLOOKUP(D3464,'报价表-配送'!$B$40:$I$44,3,0)*1000+IF(AND(MOD(H3464,30)&lt;0.02),H3464,0)*VLOOKUP(D3464,'报价表-配送'!$B$40:$I$44,2,0)*1000</f>
        <v>0</v>
      </c>
      <c r="N3464" s="127">
        <f t="shared" si="231"/>
        <v>0</v>
      </c>
    </row>
    <row r="3465" spans="1:14" x14ac:dyDescent="0.25">
      <c r="A3465" s="121" t="s">
        <v>79</v>
      </c>
      <c r="B3465" s="121" t="s">
        <v>168</v>
      </c>
      <c r="C3465" s="62">
        <f>VLOOKUP(B3465,合并仓明细!$D$2:$F$74,3,0)</f>
        <v>216</v>
      </c>
      <c r="D3465" s="122" t="s">
        <v>414</v>
      </c>
      <c r="E3465" s="123">
        <v>46029</v>
      </c>
      <c r="F3465" s="121" t="s">
        <v>66</v>
      </c>
      <c r="G3465" s="121">
        <v>97.175000000000011</v>
      </c>
      <c r="H3465" s="124">
        <v>9.7175000000000011E-2</v>
      </c>
      <c r="I3465" s="125"/>
      <c r="J3465" s="125"/>
      <c r="K3465" s="125"/>
      <c r="L3465" s="37">
        <f>IF(H3465&gt;30,QUOTIENT(H3465,30)*VLOOKUP(D3465,'报价表-配送'!$B$40:$I$44,8,0),0)+IF(AND(MOD(H3465,30)&gt;18,MOD(H3465,30)&lt;=30),1,0)*VLOOKUP(D3465,'报价表-配送'!$B$40:$I$44,8,0)+IF(AND(MOD(H3465,30)&gt;8,MOD(H3465,30)&lt;=18),1*VLOOKUP(D3465,'报价表-配送'!$B$40:$I$44,7,0),0)+IF(AND(MOD(H3465,30)&lt;=8,MOD(H3465,30)&gt;2.5),1,0)*VLOOKUP(D3465,'报价表-配送'!$B$40:$I$44,6,0)+IF(AND(MOD(H3465,30)&lt;=2.5,MOD(H3465,30)&gt;=1.5),1,0)*VLOOKUP(D3465,'报价表-配送'!$B$40:$I$44,5,0)</f>
        <v>0</v>
      </c>
      <c r="M3465" s="39">
        <f>IF(AND(MOD(H3465,30)&lt;1.5,MOD(H3465,30)&gt;=0.5),H3465,0)*VLOOKUP(D3465,'报价表-配送'!$B$40:$I$44,4,0)*1000+IF(AND(MOD(H3465,30)&lt;0.5,MOD(H3465,30)&gt;=0.02),H3465,0)*VLOOKUP(D3465,'报价表-配送'!$B$40:$I$44,3,0)*1000+IF(AND(MOD(H3465,30)&lt;0.02),H3465,0)*VLOOKUP(D3465,'报价表-配送'!$B$40:$I$44,2,0)*1000</f>
        <v>0</v>
      </c>
      <c r="N3465" s="127">
        <f t="shared" si="231"/>
        <v>0</v>
      </c>
    </row>
    <row r="3466" spans="1:14" x14ac:dyDescent="0.25">
      <c r="A3466" s="121" t="s">
        <v>79</v>
      </c>
      <c r="B3466" s="121" t="s">
        <v>168</v>
      </c>
      <c r="C3466" s="62">
        <f>VLOOKUP(B3466,合并仓明细!$D$2:$F$74,3,0)</f>
        <v>216</v>
      </c>
      <c r="D3466" s="122" t="s">
        <v>414</v>
      </c>
      <c r="E3466" s="123">
        <v>46035</v>
      </c>
      <c r="F3466" s="121" t="s">
        <v>66</v>
      </c>
      <c r="G3466" s="121">
        <v>4715</v>
      </c>
      <c r="H3466" s="124">
        <v>4.7149999999999999</v>
      </c>
      <c r="I3466" s="125"/>
      <c r="J3466" s="125"/>
      <c r="K3466" s="125"/>
      <c r="L3466" s="37">
        <f>IF(H3466&gt;30,QUOTIENT(H3466,30)*VLOOKUP(D3466,'报价表-配送'!$B$40:$I$44,8,0),0)+IF(AND(MOD(H3466,30)&gt;18,MOD(H3466,30)&lt;=30),1,0)*VLOOKUP(D3466,'报价表-配送'!$B$40:$I$44,8,0)+IF(AND(MOD(H3466,30)&gt;8,MOD(H3466,30)&lt;=18),1*VLOOKUP(D3466,'报价表-配送'!$B$40:$I$44,7,0),0)+IF(AND(MOD(H3466,30)&lt;=8,MOD(H3466,30)&gt;2.5),1,0)*VLOOKUP(D3466,'报价表-配送'!$B$40:$I$44,6,0)+IF(AND(MOD(H3466,30)&lt;=2.5,MOD(H3466,30)&gt;=1.5),1,0)*VLOOKUP(D3466,'报价表-配送'!$B$40:$I$44,5,0)</f>
        <v>0</v>
      </c>
      <c r="M3466" s="39">
        <f>IF(AND(MOD(H3466,30)&lt;1.5,MOD(H3466,30)&gt;=0.5),H3466,0)*VLOOKUP(D3466,'报价表-配送'!$B$40:$I$44,4,0)*1000+IF(AND(MOD(H3466,30)&lt;0.5,MOD(H3466,30)&gt;=0.02),H3466,0)*VLOOKUP(D3466,'报价表-配送'!$B$40:$I$44,3,0)*1000+IF(AND(MOD(H3466,30)&lt;0.02),H3466,0)*VLOOKUP(D3466,'报价表-配送'!$B$40:$I$44,2,0)*1000</f>
        <v>0</v>
      </c>
      <c r="N3466" s="127">
        <f t="shared" si="231"/>
        <v>0</v>
      </c>
    </row>
    <row r="3467" spans="1:14" x14ac:dyDescent="0.25">
      <c r="A3467" s="121" t="s">
        <v>79</v>
      </c>
      <c r="B3467" s="121" t="s">
        <v>168</v>
      </c>
      <c r="C3467" s="62">
        <f>VLOOKUP(B3467,合并仓明细!$D$2:$F$74,3,0)</f>
        <v>216</v>
      </c>
      <c r="D3467" s="122" t="s">
        <v>414</v>
      </c>
      <c r="E3467" s="123">
        <v>46049</v>
      </c>
      <c r="F3467" s="121" t="s">
        <v>66</v>
      </c>
      <c r="G3467" s="121">
        <v>309.26000000000005</v>
      </c>
      <c r="H3467" s="124">
        <v>0.30926000000000003</v>
      </c>
      <c r="I3467" s="125"/>
      <c r="J3467" s="125"/>
      <c r="K3467" s="125"/>
      <c r="L3467" s="37">
        <f>IF(H3467&gt;30,QUOTIENT(H3467,30)*VLOOKUP(D3467,'报价表-配送'!$B$40:$I$44,8,0),0)+IF(AND(MOD(H3467,30)&gt;18,MOD(H3467,30)&lt;=30),1,0)*VLOOKUP(D3467,'报价表-配送'!$B$40:$I$44,8,0)+IF(AND(MOD(H3467,30)&gt;8,MOD(H3467,30)&lt;=18),1*VLOOKUP(D3467,'报价表-配送'!$B$40:$I$44,7,0),0)+IF(AND(MOD(H3467,30)&lt;=8,MOD(H3467,30)&gt;2.5),1,0)*VLOOKUP(D3467,'报价表-配送'!$B$40:$I$44,6,0)+IF(AND(MOD(H3467,30)&lt;=2.5,MOD(H3467,30)&gt;=1.5),1,0)*VLOOKUP(D3467,'报价表-配送'!$B$40:$I$44,5,0)</f>
        <v>0</v>
      </c>
      <c r="M3467" s="39">
        <f>IF(AND(MOD(H3467,30)&lt;1.5,MOD(H3467,30)&gt;=0.5),H3467,0)*VLOOKUP(D3467,'报价表-配送'!$B$40:$I$44,4,0)*1000+IF(AND(MOD(H3467,30)&lt;0.5,MOD(H3467,30)&gt;=0.02),H3467,0)*VLOOKUP(D3467,'报价表-配送'!$B$40:$I$44,3,0)*1000+IF(AND(MOD(H3467,30)&lt;0.02),H3467,0)*VLOOKUP(D3467,'报价表-配送'!$B$40:$I$44,2,0)*1000</f>
        <v>0</v>
      </c>
      <c r="N3467" s="127">
        <f t="shared" si="231"/>
        <v>0</v>
      </c>
    </row>
    <row r="3468" spans="1:14" x14ac:dyDescent="0.25">
      <c r="A3468" s="121" t="s">
        <v>79</v>
      </c>
      <c r="B3468" s="121" t="s">
        <v>168</v>
      </c>
      <c r="C3468" s="62">
        <f>VLOOKUP(B3468,合并仓明细!$D$2:$F$74,3,0)</f>
        <v>216</v>
      </c>
      <c r="D3468" s="122" t="s">
        <v>414</v>
      </c>
      <c r="E3468" s="123">
        <v>46055</v>
      </c>
      <c r="F3468" s="121" t="s">
        <v>66</v>
      </c>
      <c r="G3468" s="121">
        <v>188.00500000000002</v>
      </c>
      <c r="H3468" s="124">
        <v>0.18800500000000003</v>
      </c>
      <c r="I3468" s="125"/>
      <c r="J3468" s="125"/>
      <c r="K3468" s="125"/>
      <c r="L3468" s="37">
        <f>IF(H3468&gt;30,QUOTIENT(H3468,30)*VLOOKUP(D3468,'报价表-配送'!$B$40:$I$44,8,0),0)+IF(AND(MOD(H3468,30)&gt;18,MOD(H3468,30)&lt;=30),1,0)*VLOOKUP(D3468,'报价表-配送'!$B$40:$I$44,8,0)+IF(AND(MOD(H3468,30)&gt;8,MOD(H3468,30)&lt;=18),1*VLOOKUP(D3468,'报价表-配送'!$B$40:$I$44,7,0),0)+IF(AND(MOD(H3468,30)&lt;=8,MOD(H3468,30)&gt;2.5),1,0)*VLOOKUP(D3468,'报价表-配送'!$B$40:$I$44,6,0)+IF(AND(MOD(H3468,30)&lt;=2.5,MOD(H3468,30)&gt;=1.5),1,0)*VLOOKUP(D3468,'报价表-配送'!$B$40:$I$44,5,0)</f>
        <v>0</v>
      </c>
      <c r="M3468" s="39">
        <f>IF(AND(MOD(H3468,30)&lt;1.5,MOD(H3468,30)&gt;=0.5),H3468,0)*VLOOKUP(D3468,'报价表-配送'!$B$40:$I$44,4,0)*1000+IF(AND(MOD(H3468,30)&lt;0.5,MOD(H3468,30)&gt;=0.02),H3468,0)*VLOOKUP(D3468,'报价表-配送'!$B$40:$I$44,3,0)*1000+IF(AND(MOD(H3468,30)&lt;0.02),H3468,0)*VLOOKUP(D3468,'报价表-配送'!$B$40:$I$44,2,0)*1000</f>
        <v>0</v>
      </c>
      <c r="N3468" s="127">
        <f t="shared" si="231"/>
        <v>0</v>
      </c>
    </row>
    <row r="3469" spans="1:14" x14ac:dyDescent="0.25">
      <c r="A3469" s="121" t="s">
        <v>79</v>
      </c>
      <c r="B3469" s="121" t="s">
        <v>168</v>
      </c>
      <c r="C3469" s="62">
        <f>VLOOKUP(B3469,合并仓明细!$D$2:$F$74,3,0)</f>
        <v>216</v>
      </c>
      <c r="D3469" s="122" t="s">
        <v>414</v>
      </c>
      <c r="E3469" s="123">
        <v>46097</v>
      </c>
      <c r="F3469" s="121" t="s">
        <v>66</v>
      </c>
      <c r="G3469" s="121">
        <v>160.01</v>
      </c>
      <c r="H3469" s="124">
        <v>0.16000999999999999</v>
      </c>
      <c r="I3469" s="125"/>
      <c r="J3469" s="125"/>
      <c r="K3469" s="125"/>
      <c r="L3469" s="37">
        <f>IF(H3469&gt;30,QUOTIENT(H3469,30)*VLOOKUP(D3469,'报价表-配送'!$B$40:$I$44,8,0),0)+IF(AND(MOD(H3469,30)&gt;18,MOD(H3469,30)&lt;=30),1,0)*VLOOKUP(D3469,'报价表-配送'!$B$40:$I$44,8,0)+IF(AND(MOD(H3469,30)&gt;8,MOD(H3469,30)&lt;=18),1*VLOOKUP(D3469,'报价表-配送'!$B$40:$I$44,7,0),0)+IF(AND(MOD(H3469,30)&lt;=8,MOD(H3469,30)&gt;2.5),1,0)*VLOOKUP(D3469,'报价表-配送'!$B$40:$I$44,6,0)+IF(AND(MOD(H3469,30)&lt;=2.5,MOD(H3469,30)&gt;=1.5),1,0)*VLOOKUP(D3469,'报价表-配送'!$B$40:$I$44,5,0)</f>
        <v>0</v>
      </c>
      <c r="M3469" s="39">
        <f>IF(AND(MOD(H3469,30)&lt;1.5,MOD(H3469,30)&gt;=0.5),H3469,0)*VLOOKUP(D3469,'报价表-配送'!$B$40:$I$44,4,0)*1000+IF(AND(MOD(H3469,30)&lt;0.5,MOD(H3469,30)&gt;=0.02),H3469,0)*VLOOKUP(D3469,'报价表-配送'!$B$40:$I$44,3,0)*1000+IF(AND(MOD(H3469,30)&lt;0.02),H3469,0)*VLOOKUP(D3469,'报价表-配送'!$B$40:$I$44,2,0)*1000</f>
        <v>0</v>
      </c>
      <c r="N3469" s="127">
        <f t="shared" si="231"/>
        <v>0</v>
      </c>
    </row>
    <row r="3470" spans="1:14" x14ac:dyDescent="0.25">
      <c r="A3470" s="121" t="s">
        <v>79</v>
      </c>
      <c r="B3470" s="121" t="s">
        <v>168</v>
      </c>
      <c r="C3470" s="62">
        <f>VLOOKUP(B3470,合并仓明细!$D$2:$F$74,3,0)</f>
        <v>216</v>
      </c>
      <c r="D3470" s="122" t="s">
        <v>414</v>
      </c>
      <c r="E3470" s="123">
        <v>46098</v>
      </c>
      <c r="F3470" s="121" t="s">
        <v>66</v>
      </c>
      <c r="G3470" s="121">
        <v>292.20960000000002</v>
      </c>
      <c r="H3470" s="124">
        <v>0.29220960000000001</v>
      </c>
      <c r="I3470" s="125"/>
      <c r="J3470" s="125"/>
      <c r="K3470" s="125"/>
      <c r="L3470" s="37">
        <f>IF(H3470&gt;30,QUOTIENT(H3470,30)*VLOOKUP(D3470,'报价表-配送'!$B$40:$I$44,8,0),0)+IF(AND(MOD(H3470,30)&gt;18,MOD(H3470,30)&lt;=30),1,0)*VLOOKUP(D3470,'报价表-配送'!$B$40:$I$44,8,0)+IF(AND(MOD(H3470,30)&gt;8,MOD(H3470,30)&lt;=18),1*VLOOKUP(D3470,'报价表-配送'!$B$40:$I$44,7,0),0)+IF(AND(MOD(H3470,30)&lt;=8,MOD(H3470,30)&gt;2.5),1,0)*VLOOKUP(D3470,'报价表-配送'!$B$40:$I$44,6,0)+IF(AND(MOD(H3470,30)&lt;=2.5,MOD(H3470,30)&gt;=1.5),1,0)*VLOOKUP(D3470,'报价表-配送'!$B$40:$I$44,5,0)</f>
        <v>0</v>
      </c>
      <c r="M3470" s="39">
        <f>IF(AND(MOD(H3470,30)&lt;1.5,MOD(H3470,30)&gt;=0.5),H3470,0)*VLOOKUP(D3470,'报价表-配送'!$B$40:$I$44,4,0)*1000+IF(AND(MOD(H3470,30)&lt;0.5,MOD(H3470,30)&gt;=0.02),H3470,0)*VLOOKUP(D3470,'报价表-配送'!$B$40:$I$44,3,0)*1000+IF(AND(MOD(H3470,30)&lt;0.02),H3470,0)*VLOOKUP(D3470,'报价表-配送'!$B$40:$I$44,2,0)*1000</f>
        <v>0</v>
      </c>
      <c r="N3470" s="127">
        <f t="shared" si="231"/>
        <v>0</v>
      </c>
    </row>
    <row r="3471" spans="1:14" x14ac:dyDescent="0.25">
      <c r="A3471" s="121" t="s">
        <v>79</v>
      </c>
      <c r="B3471" s="121" t="s">
        <v>168</v>
      </c>
      <c r="C3471" s="62">
        <f>VLOOKUP(B3471,合并仓明细!$D$2:$F$74,3,0)</f>
        <v>216</v>
      </c>
      <c r="D3471" s="122" t="s">
        <v>414</v>
      </c>
      <c r="E3471" s="123">
        <v>46106</v>
      </c>
      <c r="F3471" s="121" t="s">
        <v>66</v>
      </c>
      <c r="G3471" s="121">
        <v>684.75359999999989</v>
      </c>
      <c r="H3471" s="124">
        <v>0.68475359999999985</v>
      </c>
      <c r="I3471" s="125"/>
      <c r="J3471" s="125"/>
      <c r="K3471" s="125"/>
      <c r="L3471" s="37">
        <f>IF(H3471&gt;30,QUOTIENT(H3471,30)*VLOOKUP(D3471,'报价表-配送'!$B$40:$I$44,8,0),0)+IF(AND(MOD(H3471,30)&gt;18,MOD(H3471,30)&lt;=30),1,0)*VLOOKUP(D3471,'报价表-配送'!$B$40:$I$44,8,0)+IF(AND(MOD(H3471,30)&gt;8,MOD(H3471,30)&lt;=18),1*VLOOKUP(D3471,'报价表-配送'!$B$40:$I$44,7,0),0)+IF(AND(MOD(H3471,30)&lt;=8,MOD(H3471,30)&gt;2.5),1,0)*VLOOKUP(D3471,'报价表-配送'!$B$40:$I$44,6,0)+IF(AND(MOD(H3471,30)&lt;=2.5,MOD(H3471,30)&gt;=1.5),1,0)*VLOOKUP(D3471,'报价表-配送'!$B$40:$I$44,5,0)</f>
        <v>0</v>
      </c>
      <c r="M3471" s="39">
        <f>IF(AND(MOD(H3471,30)&lt;1.5,MOD(H3471,30)&gt;=0.5),H3471,0)*VLOOKUP(D3471,'报价表-配送'!$B$40:$I$44,4,0)*1000+IF(AND(MOD(H3471,30)&lt;0.5,MOD(H3471,30)&gt;=0.02),H3471,0)*VLOOKUP(D3471,'报价表-配送'!$B$40:$I$44,3,0)*1000+IF(AND(MOD(H3471,30)&lt;0.02),H3471,0)*VLOOKUP(D3471,'报价表-配送'!$B$40:$I$44,2,0)*1000</f>
        <v>0</v>
      </c>
      <c r="N3471" s="127">
        <f t="shared" si="231"/>
        <v>0</v>
      </c>
    </row>
    <row r="3472" spans="1:14" x14ac:dyDescent="0.25">
      <c r="A3472" s="121" t="s">
        <v>79</v>
      </c>
      <c r="B3472" s="121" t="s">
        <v>169</v>
      </c>
      <c r="C3472" s="62">
        <f>VLOOKUP(B3472,合并仓明细!$D$2:$F$74,3,0)</f>
        <v>227</v>
      </c>
      <c r="D3472" s="122" t="s">
        <v>414</v>
      </c>
      <c r="E3472" s="123">
        <v>45953</v>
      </c>
      <c r="F3472" s="121" t="s">
        <v>66</v>
      </c>
      <c r="G3472" s="121">
        <v>100.19999988000001</v>
      </c>
      <c r="H3472" s="124">
        <v>0.10019999988</v>
      </c>
      <c r="I3472" s="125"/>
      <c r="J3472" s="125"/>
      <c r="K3472" s="125"/>
      <c r="L3472" s="37">
        <f>IF(H3472&gt;30,QUOTIENT(H3472,30)*VLOOKUP(D3472,'报价表-配送'!$B$40:$I$44,8,0),0)+IF(AND(MOD(H3472,30)&gt;18,MOD(H3472,30)&lt;=30),1,0)*VLOOKUP(D3472,'报价表-配送'!$B$40:$I$44,8,0)+IF(AND(MOD(H3472,30)&gt;8,MOD(H3472,30)&lt;=18),1*VLOOKUP(D3472,'报价表-配送'!$B$40:$I$44,7,0),0)+IF(AND(MOD(H3472,30)&lt;=8,MOD(H3472,30)&gt;2.5),1,0)*VLOOKUP(D3472,'报价表-配送'!$B$40:$I$44,6,0)+IF(AND(MOD(H3472,30)&lt;=2.5,MOD(H3472,30)&gt;=1.5),1,0)*VLOOKUP(D3472,'报价表-配送'!$B$40:$I$44,5,0)</f>
        <v>0</v>
      </c>
      <c r="M3472" s="39">
        <f>IF(AND(MOD(H3472,30)&lt;1.5,MOD(H3472,30)&gt;=0.5),H3472,0)*VLOOKUP(D3472,'报价表-配送'!$B$40:$I$44,4,0)*1000+IF(AND(MOD(H3472,30)&lt;0.5,MOD(H3472,30)&gt;=0.02),H3472,0)*VLOOKUP(D3472,'报价表-配送'!$B$40:$I$44,3,0)*1000+IF(AND(MOD(H3472,30)&lt;0.02),H3472,0)*VLOOKUP(D3472,'报价表-配送'!$B$40:$I$44,2,0)*1000</f>
        <v>0</v>
      </c>
      <c r="N3472" s="127">
        <f t="shared" si="231"/>
        <v>0</v>
      </c>
    </row>
    <row r="3473" spans="1:14" x14ac:dyDescent="0.25">
      <c r="A3473" s="121" t="s">
        <v>79</v>
      </c>
      <c r="B3473" s="121" t="s">
        <v>169</v>
      </c>
      <c r="C3473" s="62">
        <f>VLOOKUP(B3473,合并仓明细!$D$2:$F$74,3,0)</f>
        <v>227</v>
      </c>
      <c r="D3473" s="122" t="s">
        <v>414</v>
      </c>
      <c r="E3473" s="123">
        <v>45957</v>
      </c>
      <c r="F3473" s="121" t="s">
        <v>66</v>
      </c>
      <c r="G3473" s="121">
        <v>9.7766666600000001</v>
      </c>
      <c r="H3473" s="124">
        <v>9.7766666600000007E-3</v>
      </c>
      <c r="I3473" s="125"/>
      <c r="J3473" s="125"/>
      <c r="K3473" s="125"/>
      <c r="L3473" s="37">
        <f>IF(H3473&gt;30,QUOTIENT(H3473,30)*VLOOKUP(D3473,'报价表-配送'!$B$40:$I$44,8,0),0)+IF(AND(MOD(H3473,30)&gt;18,MOD(H3473,30)&lt;=30),1,0)*VLOOKUP(D3473,'报价表-配送'!$B$40:$I$44,8,0)+IF(AND(MOD(H3473,30)&gt;8,MOD(H3473,30)&lt;=18),1*VLOOKUP(D3473,'报价表-配送'!$B$40:$I$44,7,0),0)+IF(AND(MOD(H3473,30)&lt;=8,MOD(H3473,30)&gt;2.5),1,0)*VLOOKUP(D3473,'报价表-配送'!$B$40:$I$44,6,0)+IF(AND(MOD(H3473,30)&lt;=2.5,MOD(H3473,30)&gt;=1.5),1,0)*VLOOKUP(D3473,'报价表-配送'!$B$40:$I$44,5,0)</f>
        <v>0</v>
      </c>
      <c r="M3473" s="39">
        <f>IF(AND(MOD(H3473,30)&lt;1.5,MOD(H3473,30)&gt;=0.5),H3473,0)*VLOOKUP(D3473,'报价表-配送'!$B$40:$I$44,4,0)*1000+IF(AND(MOD(H3473,30)&lt;0.5,MOD(H3473,30)&gt;=0.02),H3473,0)*VLOOKUP(D3473,'报价表-配送'!$B$40:$I$44,3,0)*1000+IF(AND(MOD(H3473,30)&lt;0.02),H3473,0)*VLOOKUP(D3473,'报价表-配送'!$B$40:$I$44,2,0)*1000</f>
        <v>0</v>
      </c>
      <c r="N3473" s="127">
        <f t="shared" si="231"/>
        <v>0</v>
      </c>
    </row>
    <row r="3474" spans="1:14" x14ac:dyDescent="0.25">
      <c r="A3474" s="121" t="s">
        <v>79</v>
      </c>
      <c r="B3474" s="121" t="s">
        <v>169</v>
      </c>
      <c r="C3474" s="62">
        <f>VLOOKUP(B3474,合并仓明细!$D$2:$F$74,3,0)</f>
        <v>227</v>
      </c>
      <c r="D3474" s="122" t="s">
        <v>414</v>
      </c>
      <c r="E3474" s="123">
        <v>45977</v>
      </c>
      <c r="F3474" s="121" t="s">
        <v>68</v>
      </c>
      <c r="G3474" s="121">
        <v>726.00071999999989</v>
      </c>
      <c r="H3474" s="124">
        <v>1.9121986799199999</v>
      </c>
      <c r="I3474" s="46">
        <f>ROUNDUP(H3474/30,0)*VLOOKUP(D3474,'报价表-配送'!$B$40:$I$44,8,0)</f>
        <v>0</v>
      </c>
      <c r="J3474" s="125"/>
      <c r="K3474" s="125"/>
      <c r="L3474" s="121"/>
      <c r="M3474" s="126"/>
      <c r="N3474" s="127">
        <f t="shared" si="231"/>
        <v>0</v>
      </c>
    </row>
    <row r="3475" spans="1:14" x14ac:dyDescent="0.25">
      <c r="A3475" s="121" t="s">
        <v>79</v>
      </c>
      <c r="B3475" s="121" t="s">
        <v>169</v>
      </c>
      <c r="C3475" s="62">
        <f>VLOOKUP(B3475,合并仓明细!$D$2:$F$74,3,0)</f>
        <v>227</v>
      </c>
      <c r="D3475" s="122" t="s">
        <v>414</v>
      </c>
      <c r="E3475" s="123">
        <v>45977</v>
      </c>
      <c r="F3475" s="121" t="s">
        <v>67</v>
      </c>
      <c r="G3475" s="121">
        <v>882.72546</v>
      </c>
      <c r="H3475" s="124"/>
      <c r="I3475" s="125"/>
      <c r="J3475" s="125"/>
      <c r="K3475" s="125"/>
      <c r="L3475" s="121"/>
      <c r="M3475" s="126"/>
      <c r="N3475" s="121"/>
    </row>
    <row r="3476" spans="1:14" x14ac:dyDescent="0.25">
      <c r="A3476" s="121" t="s">
        <v>79</v>
      </c>
      <c r="B3476" s="121" t="s">
        <v>169</v>
      </c>
      <c r="C3476" s="62">
        <f>VLOOKUP(B3476,合并仓明细!$D$2:$F$74,3,0)</f>
        <v>227</v>
      </c>
      <c r="D3476" s="122" t="s">
        <v>414</v>
      </c>
      <c r="E3476" s="123">
        <v>45977</v>
      </c>
      <c r="F3476" s="121" t="s">
        <v>66</v>
      </c>
      <c r="G3476" s="121">
        <v>303.47249992000002</v>
      </c>
      <c r="H3476" s="124"/>
      <c r="I3476" s="125"/>
      <c r="J3476" s="125"/>
      <c r="K3476" s="125"/>
      <c r="L3476" s="121"/>
      <c r="M3476" s="126"/>
      <c r="N3476" s="121"/>
    </row>
    <row r="3477" spans="1:14" x14ac:dyDescent="0.25">
      <c r="A3477" s="121" t="s">
        <v>79</v>
      </c>
      <c r="B3477" s="121" t="s">
        <v>169</v>
      </c>
      <c r="C3477" s="62">
        <f>VLOOKUP(B3477,合并仓明细!$D$2:$F$74,3,0)</f>
        <v>227</v>
      </c>
      <c r="D3477" s="122" t="s">
        <v>414</v>
      </c>
      <c r="E3477" s="123">
        <v>45985</v>
      </c>
      <c r="F3477" s="121" t="s">
        <v>66</v>
      </c>
      <c r="G3477" s="121">
        <v>39.823333300000002</v>
      </c>
      <c r="H3477" s="124">
        <v>3.9823333299999999E-2</v>
      </c>
      <c r="I3477" s="125"/>
      <c r="J3477" s="125"/>
      <c r="K3477" s="125"/>
      <c r="L3477" s="37">
        <f>IF(H3477&gt;30,QUOTIENT(H3477,30)*VLOOKUP(D3477,'报价表-配送'!$B$40:$I$44,8,0),0)+IF(AND(MOD(H3477,30)&gt;18,MOD(H3477,30)&lt;=30),1,0)*VLOOKUP(D3477,'报价表-配送'!$B$40:$I$44,8,0)+IF(AND(MOD(H3477,30)&gt;8,MOD(H3477,30)&lt;=18),1*VLOOKUP(D3477,'报价表-配送'!$B$40:$I$44,7,0),0)+IF(AND(MOD(H3477,30)&lt;=8,MOD(H3477,30)&gt;2.5),1,0)*VLOOKUP(D3477,'报价表-配送'!$B$40:$I$44,6,0)+IF(AND(MOD(H3477,30)&lt;=2.5,MOD(H3477,30)&gt;=1.5),1,0)*VLOOKUP(D3477,'报价表-配送'!$B$40:$I$44,5,0)</f>
        <v>0</v>
      </c>
      <c r="M3477" s="39">
        <f>IF(AND(MOD(H3477,30)&lt;1.5,MOD(H3477,30)&gt;=0.5),H3477,0)*VLOOKUP(D3477,'报价表-配送'!$B$40:$I$44,4,0)*1000+IF(AND(MOD(H3477,30)&lt;0.5,MOD(H3477,30)&gt;=0.02),H3477,0)*VLOOKUP(D3477,'报价表-配送'!$B$40:$I$44,3,0)*1000+IF(AND(MOD(H3477,30)&lt;0.02),H3477,0)*VLOOKUP(D3477,'报价表-配送'!$B$40:$I$44,2,0)*1000</f>
        <v>0</v>
      </c>
      <c r="N3477" s="127">
        <f t="shared" ref="N3477:N3478" si="232">SUM(I3477:L3477)</f>
        <v>0</v>
      </c>
    </row>
    <row r="3478" spans="1:14" x14ac:dyDescent="0.25">
      <c r="A3478" s="121" t="s">
        <v>79</v>
      </c>
      <c r="B3478" s="121" t="s">
        <v>169</v>
      </c>
      <c r="C3478" s="62">
        <f>VLOOKUP(B3478,合并仓明细!$D$2:$F$74,3,0)</f>
        <v>227</v>
      </c>
      <c r="D3478" s="122" t="s">
        <v>414</v>
      </c>
      <c r="E3478" s="123">
        <v>45992</v>
      </c>
      <c r="F3478" s="121" t="s">
        <v>68</v>
      </c>
      <c r="G3478" s="121">
        <v>2243.52</v>
      </c>
      <c r="H3478" s="124">
        <v>2.3144099999999996</v>
      </c>
      <c r="I3478" s="46">
        <f>ROUNDUP(H3478/30,0)*VLOOKUP(D3478,'报价表-配送'!$B$40:$I$44,8,0)</f>
        <v>0</v>
      </c>
      <c r="J3478" s="125"/>
      <c r="K3478" s="125"/>
      <c r="L3478" s="121"/>
      <c r="M3478" s="126"/>
      <c r="N3478" s="127">
        <f t="shared" si="232"/>
        <v>0</v>
      </c>
    </row>
    <row r="3479" spans="1:14" x14ac:dyDescent="0.25">
      <c r="A3479" s="121" t="s">
        <v>79</v>
      </c>
      <c r="B3479" s="121" t="s">
        <v>169</v>
      </c>
      <c r="C3479" s="62">
        <f>VLOOKUP(B3479,合并仓明细!$D$2:$F$74,3,0)</f>
        <v>227</v>
      </c>
      <c r="D3479" s="122" t="s">
        <v>414</v>
      </c>
      <c r="E3479" s="123">
        <v>45992</v>
      </c>
      <c r="F3479" s="121" t="s">
        <v>66</v>
      </c>
      <c r="G3479" s="121">
        <v>70.889999999999986</v>
      </c>
      <c r="H3479" s="124"/>
      <c r="I3479" s="125"/>
      <c r="J3479" s="125"/>
      <c r="K3479" s="125"/>
      <c r="L3479" s="121"/>
      <c r="M3479" s="126"/>
      <c r="N3479" s="121"/>
    </row>
    <row r="3480" spans="1:14" x14ac:dyDescent="0.25">
      <c r="A3480" s="121" t="s">
        <v>79</v>
      </c>
      <c r="B3480" s="121" t="s">
        <v>169</v>
      </c>
      <c r="C3480" s="62">
        <f>VLOOKUP(B3480,合并仓明细!$D$2:$F$74,3,0)</f>
        <v>227</v>
      </c>
      <c r="D3480" s="122" t="s">
        <v>414</v>
      </c>
      <c r="E3480" s="123">
        <v>46007</v>
      </c>
      <c r="F3480" s="121" t="s">
        <v>67</v>
      </c>
      <c r="G3480" s="121">
        <v>241.56</v>
      </c>
      <c r="H3480" s="124">
        <v>0.38339000000000001</v>
      </c>
      <c r="I3480" s="38">
        <f>IF(H3480&gt;30,QUOTIENT(H3480,30)*VLOOKUP(D3480,'报价表-配送'!$B$40:$I$44,8,0),0)+IF(AND(MOD(H3480,30)&gt;18,MOD(H3480,30)&lt;=30),1,0)*VLOOKUP(D3480,'报价表-配送'!$B$40:$I$44,8,0)</f>
        <v>0</v>
      </c>
      <c r="J3480" s="38">
        <f>IF(AND(MOD(H3480,30)&gt;8,MOD(H3480,30)&lt;=18),1*VLOOKUP(D3480,'报价表-配送'!$B$40:$I$44,7,0),0)</f>
        <v>0</v>
      </c>
      <c r="K3480" s="38">
        <f>IF(AND(MOD(H3480,30)&lt;=8,MOD(H3480,30)&gt;0),1,0)*VLOOKUP(D3480,'报价表-配送'!$B$40:$I$44,6,0)</f>
        <v>0</v>
      </c>
      <c r="L3480" s="121"/>
      <c r="M3480" s="126"/>
      <c r="N3480" s="127">
        <f t="shared" ref="N3480" si="233">SUM(I3480:L3480)</f>
        <v>0</v>
      </c>
    </row>
    <row r="3481" spans="1:14" x14ac:dyDescent="0.25">
      <c r="A3481" s="121" t="s">
        <v>79</v>
      </c>
      <c r="B3481" s="121" t="s">
        <v>169</v>
      </c>
      <c r="C3481" s="62">
        <f>VLOOKUP(B3481,合并仓明细!$D$2:$F$74,3,0)</f>
        <v>227</v>
      </c>
      <c r="D3481" s="122" t="s">
        <v>414</v>
      </c>
      <c r="E3481" s="123">
        <v>46007</v>
      </c>
      <c r="F3481" s="121" t="s">
        <v>66</v>
      </c>
      <c r="G3481" s="121">
        <v>141.82999999999998</v>
      </c>
      <c r="H3481" s="124"/>
      <c r="I3481" s="125"/>
      <c r="J3481" s="125"/>
      <c r="K3481" s="125"/>
      <c r="L3481" s="121"/>
      <c r="M3481" s="126"/>
      <c r="N3481" s="121"/>
    </row>
    <row r="3482" spans="1:14" x14ac:dyDescent="0.25">
      <c r="A3482" s="121" t="s">
        <v>79</v>
      </c>
      <c r="B3482" s="121" t="s">
        <v>169</v>
      </c>
      <c r="C3482" s="62">
        <f>VLOOKUP(B3482,合并仓明细!$D$2:$F$74,3,0)</f>
        <v>227</v>
      </c>
      <c r="D3482" s="122" t="s">
        <v>414</v>
      </c>
      <c r="E3482" s="123">
        <v>46017</v>
      </c>
      <c r="F3482" s="121" t="s">
        <v>66</v>
      </c>
      <c r="G3482" s="121">
        <v>164.96</v>
      </c>
      <c r="H3482" s="124">
        <v>0.16496</v>
      </c>
      <c r="I3482" s="125"/>
      <c r="J3482" s="125"/>
      <c r="K3482" s="125"/>
      <c r="L3482" s="37">
        <f>IF(H3482&gt;30,QUOTIENT(H3482,30)*VLOOKUP(D3482,'报价表-配送'!$B$40:$I$44,8,0),0)+IF(AND(MOD(H3482,30)&gt;18,MOD(H3482,30)&lt;=30),1,0)*VLOOKUP(D3482,'报价表-配送'!$B$40:$I$44,8,0)+IF(AND(MOD(H3482,30)&gt;8,MOD(H3482,30)&lt;=18),1*VLOOKUP(D3482,'报价表-配送'!$B$40:$I$44,7,0),0)+IF(AND(MOD(H3482,30)&lt;=8,MOD(H3482,30)&gt;2.5),1,0)*VLOOKUP(D3482,'报价表-配送'!$B$40:$I$44,6,0)+IF(AND(MOD(H3482,30)&lt;=2.5,MOD(H3482,30)&gt;=1.5),1,0)*VLOOKUP(D3482,'报价表-配送'!$B$40:$I$44,5,0)</f>
        <v>0</v>
      </c>
      <c r="M3482" s="39">
        <f>IF(AND(MOD(H3482,30)&lt;1.5,MOD(H3482,30)&gt;=0.5),H3482,0)*VLOOKUP(D3482,'报价表-配送'!$B$40:$I$44,4,0)*1000+IF(AND(MOD(H3482,30)&lt;0.5,MOD(H3482,30)&gt;=0.02),H3482,0)*VLOOKUP(D3482,'报价表-配送'!$B$40:$I$44,3,0)*1000+IF(AND(MOD(H3482,30)&lt;0.02),H3482,0)*VLOOKUP(D3482,'报价表-配送'!$B$40:$I$44,2,0)*1000</f>
        <v>0</v>
      </c>
      <c r="N3482" s="127">
        <f t="shared" ref="N3482:N3485" si="234">SUM(I3482:L3482)</f>
        <v>0</v>
      </c>
    </row>
    <row r="3483" spans="1:14" x14ac:dyDescent="0.25">
      <c r="A3483" s="121" t="s">
        <v>79</v>
      </c>
      <c r="B3483" s="121" t="s">
        <v>169</v>
      </c>
      <c r="C3483" s="62">
        <f>VLOOKUP(B3483,合并仓明细!$D$2:$F$74,3,0)</f>
        <v>227</v>
      </c>
      <c r="D3483" s="122" t="s">
        <v>414</v>
      </c>
      <c r="E3483" s="123">
        <v>46030</v>
      </c>
      <c r="F3483" s="121" t="s">
        <v>66</v>
      </c>
      <c r="G3483" s="121">
        <v>78.802000000000007</v>
      </c>
      <c r="H3483" s="124">
        <v>7.8802000000000011E-2</v>
      </c>
      <c r="I3483" s="125"/>
      <c r="J3483" s="125"/>
      <c r="K3483" s="125"/>
      <c r="L3483" s="37">
        <f>IF(H3483&gt;30,QUOTIENT(H3483,30)*VLOOKUP(D3483,'报价表-配送'!$B$40:$I$44,8,0),0)+IF(AND(MOD(H3483,30)&gt;18,MOD(H3483,30)&lt;=30),1,0)*VLOOKUP(D3483,'报价表-配送'!$B$40:$I$44,8,0)+IF(AND(MOD(H3483,30)&gt;8,MOD(H3483,30)&lt;=18),1*VLOOKUP(D3483,'报价表-配送'!$B$40:$I$44,7,0),0)+IF(AND(MOD(H3483,30)&lt;=8,MOD(H3483,30)&gt;2.5),1,0)*VLOOKUP(D3483,'报价表-配送'!$B$40:$I$44,6,0)+IF(AND(MOD(H3483,30)&lt;=2.5,MOD(H3483,30)&gt;=1.5),1,0)*VLOOKUP(D3483,'报价表-配送'!$B$40:$I$44,5,0)</f>
        <v>0</v>
      </c>
      <c r="M3483" s="39">
        <f>IF(AND(MOD(H3483,30)&lt;1.5,MOD(H3483,30)&gt;=0.5),H3483,0)*VLOOKUP(D3483,'报价表-配送'!$B$40:$I$44,4,0)*1000+IF(AND(MOD(H3483,30)&lt;0.5,MOD(H3483,30)&gt;=0.02),H3483,0)*VLOOKUP(D3483,'报价表-配送'!$B$40:$I$44,3,0)*1000+IF(AND(MOD(H3483,30)&lt;0.02),H3483,0)*VLOOKUP(D3483,'报价表-配送'!$B$40:$I$44,2,0)*1000</f>
        <v>0</v>
      </c>
      <c r="N3483" s="127">
        <f t="shared" si="234"/>
        <v>0</v>
      </c>
    </row>
    <row r="3484" spans="1:14" x14ac:dyDescent="0.25">
      <c r="A3484" s="121" t="s">
        <v>79</v>
      </c>
      <c r="B3484" s="121" t="s">
        <v>169</v>
      </c>
      <c r="C3484" s="62">
        <f>VLOOKUP(B3484,合并仓明细!$D$2:$F$74,3,0)</f>
        <v>227</v>
      </c>
      <c r="D3484" s="122" t="s">
        <v>414</v>
      </c>
      <c r="E3484" s="123">
        <v>46034</v>
      </c>
      <c r="F3484" s="121" t="s">
        <v>66</v>
      </c>
      <c r="G3484" s="121">
        <v>21.22</v>
      </c>
      <c r="H3484" s="124">
        <v>2.1219999999999999E-2</v>
      </c>
      <c r="I3484" s="125"/>
      <c r="J3484" s="125"/>
      <c r="K3484" s="125"/>
      <c r="L3484" s="37">
        <f>IF(H3484&gt;30,QUOTIENT(H3484,30)*VLOOKUP(D3484,'报价表-配送'!$B$40:$I$44,8,0),0)+IF(AND(MOD(H3484,30)&gt;18,MOD(H3484,30)&lt;=30),1,0)*VLOOKUP(D3484,'报价表-配送'!$B$40:$I$44,8,0)+IF(AND(MOD(H3484,30)&gt;8,MOD(H3484,30)&lt;=18),1*VLOOKUP(D3484,'报价表-配送'!$B$40:$I$44,7,0),0)+IF(AND(MOD(H3484,30)&lt;=8,MOD(H3484,30)&gt;2.5),1,0)*VLOOKUP(D3484,'报价表-配送'!$B$40:$I$44,6,0)+IF(AND(MOD(H3484,30)&lt;=2.5,MOD(H3484,30)&gt;=1.5),1,0)*VLOOKUP(D3484,'报价表-配送'!$B$40:$I$44,5,0)</f>
        <v>0</v>
      </c>
      <c r="M3484" s="39">
        <f>IF(AND(MOD(H3484,30)&lt;1.5,MOD(H3484,30)&gt;=0.5),H3484,0)*VLOOKUP(D3484,'报价表-配送'!$B$40:$I$44,4,0)*1000+IF(AND(MOD(H3484,30)&lt;0.5,MOD(H3484,30)&gt;=0.02),H3484,0)*VLOOKUP(D3484,'报价表-配送'!$B$40:$I$44,3,0)*1000+IF(AND(MOD(H3484,30)&lt;0.02),H3484,0)*VLOOKUP(D3484,'报价表-配送'!$B$40:$I$44,2,0)*1000</f>
        <v>0</v>
      </c>
      <c r="N3484" s="127">
        <f t="shared" si="234"/>
        <v>0</v>
      </c>
    </row>
    <row r="3485" spans="1:14" x14ac:dyDescent="0.25">
      <c r="A3485" s="121" t="s">
        <v>79</v>
      </c>
      <c r="B3485" s="121" t="s">
        <v>169</v>
      </c>
      <c r="C3485" s="62">
        <f>VLOOKUP(B3485,合并仓明细!$D$2:$F$74,3,0)</f>
        <v>227</v>
      </c>
      <c r="D3485" s="122" t="s">
        <v>414</v>
      </c>
      <c r="E3485" s="123">
        <v>46043</v>
      </c>
      <c r="F3485" s="121" t="s">
        <v>67</v>
      </c>
      <c r="G3485" s="121">
        <v>273.76932700000003</v>
      </c>
      <c r="H3485" s="124">
        <v>0.29498932700000002</v>
      </c>
      <c r="I3485" s="38">
        <f>IF(H3485&gt;30,QUOTIENT(H3485,30)*VLOOKUP(D3485,'报价表-配送'!$B$40:$I$44,8,0),0)+IF(AND(MOD(H3485,30)&gt;18,MOD(H3485,30)&lt;=30),1,0)*VLOOKUP(D3485,'报价表-配送'!$B$40:$I$44,8,0)</f>
        <v>0</v>
      </c>
      <c r="J3485" s="38">
        <f>IF(AND(MOD(H3485,30)&gt;8,MOD(H3485,30)&lt;=18),1*VLOOKUP(D3485,'报价表-配送'!$B$40:$I$44,7,0),0)</f>
        <v>0</v>
      </c>
      <c r="K3485" s="38">
        <f>IF(AND(MOD(H3485,30)&lt;=8,MOD(H3485,30)&gt;0),1,0)*VLOOKUP(D3485,'报价表-配送'!$B$40:$I$44,6,0)</f>
        <v>0</v>
      </c>
      <c r="L3485" s="121"/>
      <c r="M3485" s="126"/>
      <c r="N3485" s="127">
        <f t="shared" si="234"/>
        <v>0</v>
      </c>
    </row>
    <row r="3486" spans="1:14" x14ac:dyDescent="0.25">
      <c r="A3486" s="121" t="s">
        <v>79</v>
      </c>
      <c r="B3486" s="121" t="s">
        <v>169</v>
      </c>
      <c r="C3486" s="62">
        <f>VLOOKUP(B3486,合并仓明细!$D$2:$F$74,3,0)</f>
        <v>227</v>
      </c>
      <c r="D3486" s="122" t="s">
        <v>414</v>
      </c>
      <c r="E3486" s="123">
        <v>46043</v>
      </c>
      <c r="F3486" s="121" t="s">
        <v>66</v>
      </c>
      <c r="G3486" s="121">
        <v>21.22</v>
      </c>
      <c r="H3486" s="124"/>
      <c r="I3486" s="125"/>
      <c r="J3486" s="125"/>
      <c r="K3486" s="125"/>
      <c r="L3486" s="121"/>
      <c r="M3486" s="126"/>
      <c r="N3486" s="121"/>
    </row>
    <row r="3487" spans="1:14" x14ac:dyDescent="0.25">
      <c r="A3487" s="121" t="s">
        <v>79</v>
      </c>
      <c r="B3487" s="121" t="s">
        <v>169</v>
      </c>
      <c r="C3487" s="62">
        <f>VLOOKUP(B3487,合并仓明细!$D$2:$F$74,3,0)</f>
        <v>227</v>
      </c>
      <c r="D3487" s="122" t="s">
        <v>414</v>
      </c>
      <c r="E3487" s="123">
        <v>46058</v>
      </c>
      <c r="F3487" s="121" t="s">
        <v>66</v>
      </c>
      <c r="G3487" s="121">
        <v>6.0333333200000006</v>
      </c>
      <c r="H3487" s="124">
        <v>6.0333333200000006E-3</v>
      </c>
      <c r="I3487" s="125"/>
      <c r="J3487" s="125"/>
      <c r="K3487" s="125"/>
      <c r="L3487" s="37">
        <f>IF(H3487&gt;30,QUOTIENT(H3487,30)*VLOOKUP(D3487,'报价表-配送'!$B$40:$I$44,8,0),0)+IF(AND(MOD(H3487,30)&gt;18,MOD(H3487,30)&lt;=30),1,0)*VLOOKUP(D3487,'报价表-配送'!$B$40:$I$44,8,0)+IF(AND(MOD(H3487,30)&gt;8,MOD(H3487,30)&lt;=18),1*VLOOKUP(D3487,'报价表-配送'!$B$40:$I$44,7,0),0)+IF(AND(MOD(H3487,30)&lt;=8,MOD(H3487,30)&gt;2.5),1,0)*VLOOKUP(D3487,'报价表-配送'!$B$40:$I$44,6,0)+IF(AND(MOD(H3487,30)&lt;=2.5,MOD(H3487,30)&gt;=1.5),1,0)*VLOOKUP(D3487,'报价表-配送'!$B$40:$I$44,5,0)</f>
        <v>0</v>
      </c>
      <c r="M3487" s="39">
        <f>IF(AND(MOD(H3487,30)&lt;1.5,MOD(H3487,30)&gt;=0.5),H3487,0)*VLOOKUP(D3487,'报价表-配送'!$B$40:$I$44,4,0)*1000+IF(AND(MOD(H3487,30)&lt;0.5,MOD(H3487,30)&gt;=0.02),H3487,0)*VLOOKUP(D3487,'报价表-配送'!$B$40:$I$44,3,0)*1000+IF(AND(MOD(H3487,30)&lt;0.02),H3487,0)*VLOOKUP(D3487,'报价表-配送'!$B$40:$I$44,2,0)*1000</f>
        <v>0</v>
      </c>
      <c r="N3487" s="127">
        <f t="shared" ref="N3487:N3488" si="235">SUM(I3487:L3487)</f>
        <v>0</v>
      </c>
    </row>
    <row r="3488" spans="1:14" x14ac:dyDescent="0.25">
      <c r="A3488" s="121" t="s">
        <v>78</v>
      </c>
      <c r="B3488" s="121" t="s">
        <v>154</v>
      </c>
      <c r="C3488" s="62">
        <f>VLOOKUP(B3488,合并仓明细!$D$2:$F$74,3,0)</f>
        <v>44</v>
      </c>
      <c r="D3488" s="122" t="s">
        <v>393</v>
      </c>
      <c r="E3488" s="123">
        <v>45979</v>
      </c>
      <c r="F3488" s="121" t="s">
        <v>68</v>
      </c>
      <c r="G3488" s="121">
        <v>3874.8671999999997</v>
      </c>
      <c r="H3488" s="124">
        <v>5.2569213216999993</v>
      </c>
      <c r="I3488" s="59">
        <f>ROUNDUP(H3488/30,0)*VLOOKUP(D3488,'报价表-配送'!$B$68:$I$72,8,0)</f>
        <v>0</v>
      </c>
      <c r="J3488" s="125"/>
      <c r="K3488" s="125"/>
      <c r="L3488" s="121"/>
      <c r="M3488" s="126"/>
      <c r="N3488" s="127">
        <f t="shared" si="235"/>
        <v>0</v>
      </c>
    </row>
    <row r="3489" spans="1:14" x14ac:dyDescent="0.25">
      <c r="A3489" s="121" t="s">
        <v>78</v>
      </c>
      <c r="B3489" s="121" t="s">
        <v>154</v>
      </c>
      <c r="C3489" s="62">
        <f>VLOOKUP(B3489,合并仓明细!$D$2:$F$74,3,0)</f>
        <v>44</v>
      </c>
      <c r="D3489" s="122" t="s">
        <v>393</v>
      </c>
      <c r="E3489" s="123">
        <v>45979</v>
      </c>
      <c r="F3489" s="121" t="s">
        <v>67</v>
      </c>
      <c r="G3489" s="121">
        <v>229.943658</v>
      </c>
      <c r="H3489" s="124"/>
      <c r="I3489" s="125"/>
      <c r="J3489" s="125"/>
      <c r="K3489" s="125"/>
      <c r="L3489" s="121"/>
      <c r="M3489" s="126"/>
      <c r="N3489" s="121"/>
    </row>
    <row r="3490" spans="1:14" x14ac:dyDescent="0.25">
      <c r="A3490" s="121" t="s">
        <v>78</v>
      </c>
      <c r="B3490" s="121" t="s">
        <v>154</v>
      </c>
      <c r="C3490" s="62">
        <f>VLOOKUP(B3490,合并仓明细!$D$2:$F$74,3,0)</f>
        <v>44</v>
      </c>
      <c r="D3490" s="122" t="s">
        <v>393</v>
      </c>
      <c r="E3490" s="123">
        <v>45979</v>
      </c>
      <c r="F3490" s="121" t="s">
        <v>66</v>
      </c>
      <c r="G3490" s="121">
        <v>1152.1104636999999</v>
      </c>
      <c r="H3490" s="124"/>
      <c r="I3490" s="125"/>
      <c r="J3490" s="125"/>
      <c r="K3490" s="125"/>
      <c r="L3490" s="121"/>
      <c r="M3490" s="126"/>
      <c r="N3490" s="121"/>
    </row>
    <row r="3491" spans="1:14" x14ac:dyDescent="0.25">
      <c r="A3491" s="121" t="s">
        <v>78</v>
      </c>
      <c r="B3491" s="121" t="s">
        <v>154</v>
      </c>
      <c r="C3491" s="62">
        <f>VLOOKUP(B3491,合并仓明细!$D$2:$F$74,3,0)</f>
        <v>44</v>
      </c>
      <c r="D3491" s="122" t="s">
        <v>393</v>
      </c>
      <c r="E3491" s="123">
        <v>46008</v>
      </c>
      <c r="F3491" s="121" t="s">
        <v>68</v>
      </c>
      <c r="G3491" s="121">
        <v>4824.9799999999996</v>
      </c>
      <c r="H3491" s="124">
        <v>8.2054516185999997</v>
      </c>
      <c r="I3491" s="59">
        <f>ROUNDUP(H3491/30,0)*VLOOKUP(D3491,'报价表-配送'!$B$68:$I$72,8,0)</f>
        <v>0</v>
      </c>
      <c r="J3491" s="125"/>
      <c r="K3491" s="125"/>
      <c r="L3491" s="121"/>
      <c r="M3491" s="126"/>
      <c r="N3491" s="127">
        <f t="shared" ref="N3491" si="236">SUM(I3491:L3491)</f>
        <v>0</v>
      </c>
    </row>
    <row r="3492" spans="1:14" x14ac:dyDescent="0.25">
      <c r="A3492" s="121" t="s">
        <v>78</v>
      </c>
      <c r="B3492" s="121" t="s">
        <v>154</v>
      </c>
      <c r="C3492" s="62">
        <f>VLOOKUP(B3492,合并仓明细!$D$2:$F$74,3,0)</f>
        <v>44</v>
      </c>
      <c r="D3492" s="122" t="s">
        <v>393</v>
      </c>
      <c r="E3492" s="123">
        <v>46008</v>
      </c>
      <c r="F3492" s="121" t="s">
        <v>67</v>
      </c>
      <c r="G3492" s="121">
        <v>2207.4241185999999</v>
      </c>
      <c r="H3492" s="124"/>
      <c r="I3492" s="125"/>
      <c r="J3492" s="125"/>
      <c r="K3492" s="125"/>
      <c r="L3492" s="121"/>
      <c r="M3492" s="126"/>
      <c r="N3492" s="121"/>
    </row>
    <row r="3493" spans="1:14" x14ac:dyDescent="0.25">
      <c r="A3493" s="121" t="s">
        <v>78</v>
      </c>
      <c r="B3493" s="121" t="s">
        <v>154</v>
      </c>
      <c r="C3493" s="62">
        <f>VLOOKUP(B3493,合并仓明细!$D$2:$F$74,3,0)</f>
        <v>44</v>
      </c>
      <c r="D3493" s="122" t="s">
        <v>393</v>
      </c>
      <c r="E3493" s="123">
        <v>46008</v>
      </c>
      <c r="F3493" s="121" t="s">
        <v>66</v>
      </c>
      <c r="G3493" s="121">
        <v>1173.0474999999997</v>
      </c>
      <c r="H3493" s="124"/>
      <c r="I3493" s="125"/>
      <c r="J3493" s="125"/>
      <c r="K3493" s="125"/>
      <c r="L3493" s="121"/>
      <c r="M3493" s="126"/>
      <c r="N3493" s="121"/>
    </row>
    <row r="3494" spans="1:14" x14ac:dyDescent="0.25">
      <c r="A3494" s="121" t="s">
        <v>78</v>
      </c>
      <c r="B3494" s="121" t="s">
        <v>154</v>
      </c>
      <c r="C3494" s="62">
        <f>VLOOKUP(B3494,合并仓明细!$D$2:$F$74,3,0)</f>
        <v>44</v>
      </c>
      <c r="D3494" s="122" t="s">
        <v>393</v>
      </c>
      <c r="E3494" s="123">
        <v>46015</v>
      </c>
      <c r="F3494" s="121" t="s">
        <v>66</v>
      </c>
      <c r="G3494" s="121">
        <v>715.88</v>
      </c>
      <c r="H3494" s="124">
        <v>0.71587999999999996</v>
      </c>
      <c r="I3494" s="125"/>
      <c r="J3494" s="125"/>
      <c r="K3494" s="125"/>
      <c r="L3494" s="37">
        <f>IF(H3494&gt;30,QUOTIENT(H3494,30)*VLOOKUP(D3494,'报价表-配送'!$B$68:$I$72,8,0),0)+IF(AND(MOD(H3494,30)&gt;18,MOD(H3494,30)&lt;=30),1,0)*VLOOKUP(D3494,'报价表-配送'!$B$68:$I$72,8,0)+IF(AND(MOD(H3494,30)&gt;8,MOD(H3494,30)&lt;=18),1*VLOOKUP(D3494,'报价表-配送'!$B$68:$I$72,7,0),0)+IF(AND(MOD(H3494,30)&lt;=8,MOD(H3494,30)&gt;2.5),1,0)*VLOOKUP(D3494,'报价表-配送'!$B$68:$I$72,6,0)+IF(AND(MOD(H3494,30)&lt;=2.5,MOD(H3494,30)&gt;=1.5),1,0)*VLOOKUP(D3494,'报价表-配送'!$B$68:$I$72,5,0)</f>
        <v>0</v>
      </c>
      <c r="M3494" s="39">
        <f>IF(AND(MOD(H3494,30)&lt;1.5,MOD(H3494,30)&gt;=0.5),H3494,0)*VLOOKUP(D3494,'报价表-配送'!$B$68:$I$72,4,0)*1000+IF(AND(MOD(H3494,30)&lt;0.5,MOD(H3494,30)&gt;=0.02),H3494,0)*VLOOKUP(D3494,'报价表-配送'!$B$68:$I$72,3,0)*1000+IF(AND(MOD(H3494,30)&lt;0.02),H3494,0)*VLOOKUP(D3494,'报价表-配送'!$B$68:$I$72,2,0)*1000</f>
        <v>0</v>
      </c>
      <c r="N3494" s="127">
        <f t="shared" ref="N3494:N3495" si="237">SUM(I3494:L3494)</f>
        <v>0</v>
      </c>
    </row>
    <row r="3495" spans="1:14" x14ac:dyDescent="0.25">
      <c r="A3495" s="121" t="s">
        <v>78</v>
      </c>
      <c r="B3495" s="121" t="s">
        <v>154</v>
      </c>
      <c r="C3495" s="62">
        <f>VLOOKUP(B3495,合并仓明细!$D$2:$F$74,3,0)</f>
        <v>44</v>
      </c>
      <c r="D3495" s="122" t="s">
        <v>393</v>
      </c>
      <c r="E3495" s="123">
        <v>46029</v>
      </c>
      <c r="F3495" s="121" t="s">
        <v>68</v>
      </c>
      <c r="G3495" s="121">
        <v>4217.1097199999995</v>
      </c>
      <c r="H3495" s="124">
        <v>4.7563002655299993</v>
      </c>
      <c r="I3495" s="59">
        <f>ROUNDUP(H3495/30,0)*VLOOKUP(D3495,'报价表-配送'!$B$68:$I$72,8,0)</f>
        <v>0</v>
      </c>
      <c r="J3495" s="125"/>
      <c r="K3495" s="125"/>
      <c r="L3495" s="121"/>
      <c r="M3495" s="126"/>
      <c r="N3495" s="127">
        <f t="shared" si="237"/>
        <v>0</v>
      </c>
    </row>
    <row r="3496" spans="1:14" x14ac:dyDescent="0.25">
      <c r="A3496" s="121" t="s">
        <v>78</v>
      </c>
      <c r="B3496" s="121" t="s">
        <v>154</v>
      </c>
      <c r="C3496" s="62">
        <f>VLOOKUP(B3496,合并仓明细!$D$2:$F$74,3,0)</f>
        <v>44</v>
      </c>
      <c r="D3496" s="122" t="s">
        <v>393</v>
      </c>
      <c r="E3496" s="123">
        <v>46029</v>
      </c>
      <c r="F3496" s="121" t="s">
        <v>67</v>
      </c>
      <c r="G3496" s="121">
        <v>267.99645599999997</v>
      </c>
      <c r="H3496" s="124"/>
      <c r="I3496" s="125"/>
      <c r="J3496" s="125"/>
      <c r="K3496" s="125"/>
      <c r="L3496" s="121"/>
      <c r="M3496" s="126"/>
      <c r="N3496" s="121"/>
    </row>
    <row r="3497" spans="1:14" x14ac:dyDescent="0.25">
      <c r="A3497" s="121" t="s">
        <v>78</v>
      </c>
      <c r="B3497" s="121" t="s">
        <v>154</v>
      </c>
      <c r="C3497" s="62">
        <f>VLOOKUP(B3497,合并仓明细!$D$2:$F$74,3,0)</f>
        <v>44</v>
      </c>
      <c r="D3497" s="122" t="s">
        <v>393</v>
      </c>
      <c r="E3497" s="123">
        <v>46029</v>
      </c>
      <c r="F3497" s="121" t="s">
        <v>66</v>
      </c>
      <c r="G3497" s="121">
        <v>271.19408952999999</v>
      </c>
      <c r="H3497" s="124"/>
      <c r="I3497" s="125"/>
      <c r="J3497" s="125"/>
      <c r="K3497" s="125"/>
      <c r="L3497" s="121"/>
      <c r="M3497" s="126"/>
      <c r="N3497" s="121"/>
    </row>
    <row r="3498" spans="1:14" x14ac:dyDescent="0.25">
      <c r="A3498" s="121" t="s">
        <v>78</v>
      </c>
      <c r="B3498" s="121" t="s">
        <v>154</v>
      </c>
      <c r="C3498" s="62">
        <f>VLOOKUP(B3498,合并仓明细!$D$2:$F$74,3,0)</f>
        <v>44</v>
      </c>
      <c r="D3498" s="122" t="s">
        <v>393</v>
      </c>
      <c r="E3498" s="123">
        <v>46036</v>
      </c>
      <c r="F3498" s="121" t="s">
        <v>68</v>
      </c>
      <c r="G3498" s="121">
        <v>4272.7080000000005</v>
      </c>
      <c r="H3498" s="124">
        <v>14.417386643860002</v>
      </c>
      <c r="I3498" s="59">
        <f>ROUNDUP(H3498/30,0)*VLOOKUP(D3498,'报价表-配送'!$B$68:$I$72,8,0)</f>
        <v>0</v>
      </c>
      <c r="J3498" s="125"/>
      <c r="K3498" s="125"/>
      <c r="L3498" s="121"/>
      <c r="M3498" s="126"/>
      <c r="N3498" s="127">
        <f t="shared" ref="N3498" si="238">SUM(I3498:L3498)</f>
        <v>0</v>
      </c>
    </row>
    <row r="3499" spans="1:14" x14ac:dyDescent="0.25">
      <c r="A3499" s="121" t="s">
        <v>78</v>
      </c>
      <c r="B3499" s="121" t="s">
        <v>154</v>
      </c>
      <c r="C3499" s="62">
        <f>VLOOKUP(B3499,合并仓明细!$D$2:$F$74,3,0)</f>
        <v>44</v>
      </c>
      <c r="D3499" s="122" t="s">
        <v>393</v>
      </c>
      <c r="E3499" s="123">
        <v>46036</v>
      </c>
      <c r="F3499" s="121" t="s">
        <v>67</v>
      </c>
      <c r="G3499" s="121">
        <v>8547.6991440000002</v>
      </c>
      <c r="H3499" s="124"/>
      <c r="I3499" s="125"/>
      <c r="J3499" s="125"/>
      <c r="K3499" s="125"/>
      <c r="L3499" s="121"/>
      <c r="M3499" s="126"/>
      <c r="N3499" s="121"/>
    </row>
    <row r="3500" spans="1:14" x14ac:dyDescent="0.25">
      <c r="A3500" s="121" t="s">
        <v>78</v>
      </c>
      <c r="B3500" s="121" t="s">
        <v>154</v>
      </c>
      <c r="C3500" s="62">
        <f>VLOOKUP(B3500,合并仓明细!$D$2:$F$74,3,0)</f>
        <v>44</v>
      </c>
      <c r="D3500" s="122" t="s">
        <v>393</v>
      </c>
      <c r="E3500" s="123">
        <v>46036</v>
      </c>
      <c r="F3500" s="121" t="s">
        <v>66</v>
      </c>
      <c r="G3500" s="121">
        <v>1596.9794998600005</v>
      </c>
      <c r="H3500" s="124"/>
      <c r="I3500" s="125"/>
      <c r="J3500" s="125"/>
      <c r="K3500" s="125"/>
      <c r="L3500" s="121"/>
      <c r="M3500" s="126"/>
      <c r="N3500" s="121"/>
    </row>
    <row r="3501" spans="1:14" x14ac:dyDescent="0.25">
      <c r="A3501" s="121" t="s">
        <v>78</v>
      </c>
      <c r="B3501" s="121" t="s">
        <v>154</v>
      </c>
      <c r="C3501" s="62">
        <f>VLOOKUP(B3501,合并仓明细!$D$2:$F$74,3,0)</f>
        <v>44</v>
      </c>
      <c r="D3501" s="122" t="s">
        <v>393</v>
      </c>
      <c r="E3501" s="123">
        <v>46049</v>
      </c>
      <c r="F3501" s="121" t="s">
        <v>66</v>
      </c>
      <c r="G3501" s="121">
        <v>1198.71237488</v>
      </c>
      <c r="H3501" s="124">
        <v>1.1987123748799999</v>
      </c>
      <c r="I3501" s="125"/>
      <c r="J3501" s="125"/>
      <c r="K3501" s="125"/>
      <c r="L3501" s="37">
        <f>IF(H3501&gt;30,QUOTIENT(H3501,30)*VLOOKUP(D3501,'报价表-配送'!$B$68:$I$72,8,0),0)+IF(AND(MOD(H3501,30)&gt;18,MOD(H3501,30)&lt;=30),1,0)*VLOOKUP(D3501,'报价表-配送'!$B$68:$I$72,8,0)+IF(AND(MOD(H3501,30)&gt;8,MOD(H3501,30)&lt;=18),1*VLOOKUP(D3501,'报价表-配送'!$B$68:$I$72,7,0),0)+IF(AND(MOD(H3501,30)&lt;=8,MOD(H3501,30)&gt;2.5),1,0)*VLOOKUP(D3501,'报价表-配送'!$B$68:$I$72,6,0)+IF(AND(MOD(H3501,30)&lt;=2.5,MOD(H3501,30)&gt;=1.5),1,0)*VLOOKUP(D3501,'报价表-配送'!$B$68:$I$72,5,0)</f>
        <v>0</v>
      </c>
      <c r="M3501" s="39">
        <f>IF(AND(MOD(H3501,30)&lt;1.5,MOD(H3501,30)&gt;=0.5),H3501,0)*VLOOKUP(D3501,'报价表-配送'!$B$68:$I$72,4,0)*1000+IF(AND(MOD(H3501,30)&lt;0.5,MOD(H3501,30)&gt;=0.02),H3501,0)*VLOOKUP(D3501,'报价表-配送'!$B$68:$I$72,3,0)*1000+IF(AND(MOD(H3501,30)&lt;0.02),H3501,0)*VLOOKUP(D3501,'报价表-配送'!$B$68:$I$72,2,0)*1000</f>
        <v>0</v>
      </c>
      <c r="N3501" s="127">
        <f t="shared" ref="N3501:N3502" si="239">SUM(I3501:L3501)</f>
        <v>0</v>
      </c>
    </row>
    <row r="3502" spans="1:14" x14ac:dyDescent="0.25">
      <c r="A3502" s="121" t="s">
        <v>78</v>
      </c>
      <c r="B3502" s="121" t="s">
        <v>154</v>
      </c>
      <c r="C3502" s="62">
        <f>VLOOKUP(B3502,合并仓明细!$D$2:$F$74,3,0)</f>
        <v>44</v>
      </c>
      <c r="D3502" s="122" t="s">
        <v>393</v>
      </c>
      <c r="E3502" s="123">
        <v>46057</v>
      </c>
      <c r="F3502" s="121" t="s">
        <v>68</v>
      </c>
      <c r="G3502" s="121">
        <v>5157.3873600000006</v>
      </c>
      <c r="H3502" s="124">
        <v>6.073329986100001</v>
      </c>
      <c r="I3502" s="59">
        <f>ROUNDUP(H3502/30,0)*VLOOKUP(D3502,'报价表-配送'!$B$68:$I$72,8,0)</f>
        <v>0</v>
      </c>
      <c r="J3502" s="125"/>
      <c r="K3502" s="125"/>
      <c r="L3502" s="121"/>
      <c r="M3502" s="126"/>
      <c r="N3502" s="127">
        <f t="shared" si="239"/>
        <v>0</v>
      </c>
    </row>
    <row r="3503" spans="1:14" x14ac:dyDescent="0.25">
      <c r="A3503" s="121" t="s">
        <v>78</v>
      </c>
      <c r="B3503" s="121" t="s">
        <v>154</v>
      </c>
      <c r="C3503" s="62">
        <f>VLOOKUP(B3503,合并仓明细!$D$2:$F$74,3,0)</f>
        <v>44</v>
      </c>
      <c r="D3503" s="122" t="s">
        <v>393</v>
      </c>
      <c r="E3503" s="123">
        <v>46057</v>
      </c>
      <c r="F3503" s="121" t="s">
        <v>67</v>
      </c>
      <c r="G3503" s="121">
        <v>784.96262609999997</v>
      </c>
      <c r="H3503" s="124"/>
      <c r="I3503" s="125"/>
      <c r="J3503" s="125"/>
      <c r="K3503" s="125"/>
      <c r="L3503" s="121"/>
      <c r="M3503" s="126"/>
      <c r="N3503" s="121"/>
    </row>
    <row r="3504" spans="1:14" x14ac:dyDescent="0.25">
      <c r="A3504" s="121" t="s">
        <v>78</v>
      </c>
      <c r="B3504" s="121" t="s">
        <v>154</v>
      </c>
      <c r="C3504" s="62">
        <f>VLOOKUP(B3504,合并仓明细!$D$2:$F$74,3,0)</f>
        <v>44</v>
      </c>
      <c r="D3504" s="122" t="s">
        <v>393</v>
      </c>
      <c r="E3504" s="123">
        <v>46057</v>
      </c>
      <c r="F3504" s="121" t="s">
        <v>66</v>
      </c>
      <c r="G3504" s="121">
        <v>130.98000000000002</v>
      </c>
      <c r="H3504" s="124"/>
      <c r="I3504" s="125"/>
      <c r="J3504" s="125"/>
      <c r="K3504" s="125"/>
      <c r="L3504" s="121"/>
      <c r="M3504" s="126"/>
      <c r="N3504" s="121"/>
    </row>
    <row r="3505" spans="1:14" x14ac:dyDescent="0.25">
      <c r="A3505" s="121" t="s">
        <v>78</v>
      </c>
      <c r="B3505" s="121" t="s">
        <v>235</v>
      </c>
      <c r="C3505" s="62">
        <f>VLOOKUP(B3505,合并仓明细!$D$2:$F$74,3,0)</f>
        <v>105</v>
      </c>
      <c r="D3505" s="122" t="s">
        <v>413</v>
      </c>
      <c r="E3505" s="123">
        <v>46090</v>
      </c>
      <c r="F3505" s="121" t="s">
        <v>66</v>
      </c>
      <c r="G3505" s="121">
        <v>82.20833300000001</v>
      </c>
      <c r="H3505" s="124">
        <v>8.2208333000000008E-2</v>
      </c>
      <c r="I3505" s="125"/>
      <c r="J3505" s="125"/>
      <c r="K3505" s="125"/>
      <c r="L3505" s="37">
        <f>IF(H3505&gt;30,QUOTIENT(H3505,30)*VLOOKUP(D3505,'报价表-配送'!$B$68:$I$72,8,0),0)+IF(AND(MOD(H3505,30)&gt;18,MOD(H3505,30)&lt;=30),1,0)*VLOOKUP(D3505,'报价表-配送'!$B$68:$I$72,8,0)+IF(AND(MOD(H3505,30)&gt;8,MOD(H3505,30)&lt;=18),1*VLOOKUP(D3505,'报价表-配送'!$B$68:$I$72,7,0),0)+IF(AND(MOD(H3505,30)&lt;=8,MOD(H3505,30)&gt;2.5),1,0)*VLOOKUP(D3505,'报价表-配送'!$B$68:$I$72,6,0)+IF(AND(MOD(H3505,30)&lt;=2.5,MOD(H3505,30)&gt;=1.5),1,0)*VLOOKUP(D3505,'报价表-配送'!$B$68:$I$72,5,0)</f>
        <v>0</v>
      </c>
      <c r="M3505" s="39">
        <f>IF(AND(MOD(H3505,30)&lt;1.5,MOD(H3505,30)&gt;=0.5),H3505,0)*VLOOKUP(D3505,'报价表-配送'!$B$68:$I$72,4,0)*1000+IF(AND(MOD(H3505,30)&lt;0.5,MOD(H3505,30)&gt;=0.02),H3505,0)*VLOOKUP(D3505,'报价表-配送'!$B$68:$I$72,3,0)*1000+IF(AND(MOD(H3505,30)&lt;0.02),H3505,0)*VLOOKUP(D3505,'报价表-配送'!$B$68:$I$72,2,0)*1000</f>
        <v>0</v>
      </c>
      <c r="N3505" s="127">
        <f t="shared" ref="N3505:N3506" si="240">SUM(I3505:L3505)</f>
        <v>0</v>
      </c>
    </row>
    <row r="3506" spans="1:14" x14ac:dyDescent="0.25">
      <c r="A3506" s="121" t="s">
        <v>78</v>
      </c>
      <c r="B3506" s="121" t="s">
        <v>235</v>
      </c>
      <c r="C3506" s="62">
        <f>VLOOKUP(B3506,合并仓明细!$D$2:$F$74,3,0)</f>
        <v>105</v>
      </c>
      <c r="D3506" s="122" t="s">
        <v>413</v>
      </c>
      <c r="E3506" s="123">
        <v>46106</v>
      </c>
      <c r="F3506" s="121" t="s">
        <v>68</v>
      </c>
      <c r="G3506" s="121">
        <v>902.57399999999996</v>
      </c>
      <c r="H3506" s="124">
        <v>23.112110278900005</v>
      </c>
      <c r="I3506" s="59">
        <f>ROUNDUP(H3506/30,0)*VLOOKUP(D3506,'报价表-配送'!$B$68:$I$72,8,0)</f>
        <v>0</v>
      </c>
      <c r="J3506" s="125"/>
      <c r="K3506" s="125"/>
      <c r="L3506" s="121"/>
      <c r="M3506" s="126"/>
      <c r="N3506" s="127">
        <f t="shared" si="240"/>
        <v>0</v>
      </c>
    </row>
    <row r="3507" spans="1:14" x14ac:dyDescent="0.25">
      <c r="A3507" s="121" t="s">
        <v>78</v>
      </c>
      <c r="B3507" s="121" t="s">
        <v>235</v>
      </c>
      <c r="C3507" s="62">
        <f>VLOOKUP(B3507,合并仓明细!$D$2:$F$74,3,0)</f>
        <v>105</v>
      </c>
      <c r="D3507" s="122" t="s">
        <v>413</v>
      </c>
      <c r="E3507" s="123">
        <v>46106</v>
      </c>
      <c r="F3507" s="121" t="s">
        <v>67</v>
      </c>
      <c r="G3507" s="121">
        <v>22053.676278900002</v>
      </c>
      <c r="H3507" s="124"/>
      <c r="I3507" s="125"/>
      <c r="J3507" s="125"/>
      <c r="K3507" s="125"/>
      <c r="L3507" s="121"/>
      <c r="M3507" s="126"/>
      <c r="N3507" s="121"/>
    </row>
    <row r="3508" spans="1:14" x14ac:dyDescent="0.25">
      <c r="A3508" s="121" t="s">
        <v>78</v>
      </c>
      <c r="B3508" s="121" t="s">
        <v>235</v>
      </c>
      <c r="C3508" s="62">
        <f>VLOOKUP(B3508,合并仓明细!$D$2:$F$74,3,0)</f>
        <v>105</v>
      </c>
      <c r="D3508" s="122" t="s">
        <v>413</v>
      </c>
      <c r="E3508" s="123">
        <v>46106</v>
      </c>
      <c r="F3508" s="121" t="s">
        <v>66</v>
      </c>
      <c r="G3508" s="121">
        <v>155.86000000000001</v>
      </c>
      <c r="H3508" s="124"/>
      <c r="I3508" s="125"/>
      <c r="J3508" s="125"/>
      <c r="K3508" s="125"/>
      <c r="L3508" s="121"/>
      <c r="M3508" s="126"/>
      <c r="N3508" s="121"/>
    </row>
    <row r="3509" spans="1:14" x14ac:dyDescent="0.25">
      <c r="A3509" s="121" t="s">
        <v>78</v>
      </c>
      <c r="B3509" s="121" t="s">
        <v>155</v>
      </c>
      <c r="C3509" s="62">
        <f>VLOOKUP(B3509,合并仓明细!$D$2:$F$74,3,0)</f>
        <v>185</v>
      </c>
      <c r="D3509" s="122" t="s">
        <v>413</v>
      </c>
      <c r="E3509" s="123">
        <v>45959</v>
      </c>
      <c r="F3509" s="121" t="s">
        <v>66</v>
      </c>
      <c r="G3509" s="121">
        <v>28.471666610000003</v>
      </c>
      <c r="H3509" s="124">
        <v>2.8471666610000005E-2</v>
      </c>
      <c r="I3509" s="125"/>
      <c r="J3509" s="125"/>
      <c r="K3509" s="125"/>
      <c r="L3509" s="37">
        <f>IF(H3509&gt;30,QUOTIENT(H3509,30)*VLOOKUP(D3509,'报价表-配送'!$B$68:$I$72,8,0),0)+IF(AND(MOD(H3509,30)&gt;18,MOD(H3509,30)&lt;=30),1,0)*VLOOKUP(D3509,'报价表-配送'!$B$68:$I$72,8,0)+IF(AND(MOD(H3509,30)&gt;8,MOD(H3509,30)&lt;=18),1*VLOOKUP(D3509,'报价表-配送'!$B$68:$I$72,7,0),0)+IF(AND(MOD(H3509,30)&lt;=8,MOD(H3509,30)&gt;2.5),1,0)*VLOOKUP(D3509,'报价表-配送'!$B$68:$I$72,6,0)+IF(AND(MOD(H3509,30)&lt;=2.5,MOD(H3509,30)&gt;=1.5),1,0)*VLOOKUP(D3509,'报价表-配送'!$B$68:$I$72,5,0)</f>
        <v>0</v>
      </c>
      <c r="M3509" s="39">
        <f>IF(AND(MOD(H3509,30)&lt;1.5,MOD(H3509,30)&gt;=0.5),H3509,0)*VLOOKUP(D3509,'报价表-配送'!$B$68:$I$72,4,0)*1000+IF(AND(MOD(H3509,30)&lt;0.5,MOD(H3509,30)&gt;=0.02),H3509,0)*VLOOKUP(D3509,'报价表-配送'!$B$68:$I$72,3,0)*1000+IF(AND(MOD(H3509,30)&lt;0.02),H3509,0)*VLOOKUP(D3509,'报价表-配送'!$B$68:$I$72,2,0)*1000</f>
        <v>0</v>
      </c>
      <c r="N3509" s="127">
        <f t="shared" ref="N3509:N3510" si="241">SUM(I3509:L3509)</f>
        <v>0</v>
      </c>
    </row>
    <row r="3510" spans="1:14" x14ac:dyDescent="0.25">
      <c r="A3510" s="121" t="s">
        <v>78</v>
      </c>
      <c r="B3510" s="121" t="s">
        <v>155</v>
      </c>
      <c r="C3510" s="62">
        <f>VLOOKUP(B3510,合并仓明细!$D$2:$F$74,3,0)</f>
        <v>185</v>
      </c>
      <c r="D3510" s="122" t="s">
        <v>413</v>
      </c>
      <c r="E3510" s="123">
        <v>45982</v>
      </c>
      <c r="F3510" s="121" t="s">
        <v>67</v>
      </c>
      <c r="G3510" s="121">
        <v>956.67155232000005</v>
      </c>
      <c r="H3510" s="124">
        <v>1.25239721741</v>
      </c>
      <c r="I3510" s="38">
        <f>IF(H3510&gt;30,QUOTIENT(H3510,30)*VLOOKUP(D3510,'报价表-配送'!$B$68:$I$72,8,0),0)+IF(AND(MOD(H3510,30)&gt;18,MOD(H3510,30)&lt;=30),1,0)*VLOOKUP(D3510,'报价表-配送'!$B$68:$I$72,8,0)</f>
        <v>0</v>
      </c>
      <c r="J3510" s="38">
        <f>IF(AND(MOD(H3510,30)&gt;8,MOD(H3510,30)&lt;=18),1*VLOOKUP(D3510,'报价表-配送'!$B$68:$I$72,7,0),0)</f>
        <v>0</v>
      </c>
      <c r="K3510" s="37">
        <f>IF(AND(MOD(H3510,30)&lt;=8,MOD(H3510,30)&gt;0),1,0)*VLOOKUP(D3510,'报价表-配送'!$B$68:$I$72,6,0)</f>
        <v>0</v>
      </c>
      <c r="L3510" s="121"/>
      <c r="M3510" s="126"/>
      <c r="N3510" s="127">
        <f t="shared" si="241"/>
        <v>0</v>
      </c>
    </row>
    <row r="3511" spans="1:14" x14ac:dyDescent="0.25">
      <c r="A3511" s="121" t="s">
        <v>78</v>
      </c>
      <c r="B3511" s="121" t="s">
        <v>155</v>
      </c>
      <c r="C3511" s="62">
        <f>VLOOKUP(B3511,合并仓明细!$D$2:$F$74,3,0)</f>
        <v>185</v>
      </c>
      <c r="D3511" s="122" t="s">
        <v>413</v>
      </c>
      <c r="E3511" s="123">
        <v>45982</v>
      </c>
      <c r="F3511" s="121" t="s">
        <v>66</v>
      </c>
      <c r="G3511" s="121">
        <v>295.72566509000001</v>
      </c>
      <c r="H3511" s="124"/>
      <c r="I3511" s="125"/>
      <c r="J3511" s="125"/>
      <c r="K3511" s="125"/>
      <c r="L3511" s="121"/>
      <c r="M3511" s="126"/>
      <c r="N3511" s="121"/>
    </row>
    <row r="3512" spans="1:14" x14ac:dyDescent="0.25">
      <c r="A3512" s="121" t="s">
        <v>78</v>
      </c>
      <c r="B3512" s="121" t="s">
        <v>155</v>
      </c>
      <c r="C3512" s="62">
        <f>VLOOKUP(B3512,合并仓明细!$D$2:$F$74,3,0)</f>
        <v>185</v>
      </c>
      <c r="D3512" s="122" t="s">
        <v>413</v>
      </c>
      <c r="E3512" s="123">
        <v>45996</v>
      </c>
      <c r="F3512" s="121" t="s">
        <v>66</v>
      </c>
      <c r="G3512" s="121">
        <v>47.52</v>
      </c>
      <c r="H3512" s="124">
        <v>4.752E-2</v>
      </c>
      <c r="I3512" s="125"/>
      <c r="J3512" s="125"/>
      <c r="K3512" s="125"/>
      <c r="L3512" s="37">
        <f>IF(H3512&gt;30,QUOTIENT(H3512,30)*VLOOKUP(D3512,'报价表-配送'!$B$68:$I$72,8,0),0)+IF(AND(MOD(H3512,30)&gt;18,MOD(H3512,30)&lt;=30),1,0)*VLOOKUP(D3512,'报价表-配送'!$B$68:$I$72,8,0)+IF(AND(MOD(H3512,30)&gt;8,MOD(H3512,30)&lt;=18),1*VLOOKUP(D3512,'报价表-配送'!$B$68:$I$72,7,0),0)+IF(AND(MOD(H3512,30)&lt;=8,MOD(H3512,30)&gt;2.5),1,0)*VLOOKUP(D3512,'报价表-配送'!$B$68:$I$72,6,0)+IF(AND(MOD(H3512,30)&lt;=2.5,MOD(H3512,30)&gt;=1.5),1,0)*VLOOKUP(D3512,'报价表-配送'!$B$68:$I$72,5,0)</f>
        <v>0</v>
      </c>
      <c r="M3512" s="39">
        <f>IF(AND(MOD(H3512,30)&lt;1.5,MOD(H3512,30)&gt;=0.5),H3512,0)*VLOOKUP(D3512,'报价表-配送'!$B$68:$I$72,4,0)*1000+IF(AND(MOD(H3512,30)&lt;0.5,MOD(H3512,30)&gt;=0.02),H3512,0)*VLOOKUP(D3512,'报价表-配送'!$B$68:$I$72,3,0)*1000+IF(AND(MOD(H3512,30)&lt;0.02),H3512,0)*VLOOKUP(D3512,'报价表-配送'!$B$68:$I$72,2,0)*1000</f>
        <v>0</v>
      </c>
      <c r="N3512" s="127">
        <f t="shared" ref="N3512:N3517" si="242">SUM(I3512:L3512)</f>
        <v>0</v>
      </c>
    </row>
    <row r="3513" spans="1:14" x14ac:dyDescent="0.25">
      <c r="A3513" s="121" t="s">
        <v>78</v>
      </c>
      <c r="B3513" s="121" t="s">
        <v>155</v>
      </c>
      <c r="C3513" s="62">
        <f>VLOOKUP(B3513,合并仓明细!$D$2:$F$74,3,0)</f>
        <v>185</v>
      </c>
      <c r="D3513" s="122" t="s">
        <v>413</v>
      </c>
      <c r="E3513" s="123">
        <v>46006</v>
      </c>
      <c r="F3513" s="121" t="s">
        <v>66</v>
      </c>
      <c r="G3513" s="121">
        <v>196.4</v>
      </c>
      <c r="H3513" s="124">
        <v>0.19640000000000002</v>
      </c>
      <c r="I3513" s="125"/>
      <c r="J3513" s="125"/>
      <c r="K3513" s="125"/>
      <c r="L3513" s="37">
        <f>IF(H3513&gt;30,QUOTIENT(H3513,30)*VLOOKUP(D3513,'报价表-配送'!$B$68:$I$72,8,0),0)+IF(AND(MOD(H3513,30)&gt;18,MOD(H3513,30)&lt;=30),1,0)*VLOOKUP(D3513,'报价表-配送'!$B$68:$I$72,8,0)+IF(AND(MOD(H3513,30)&gt;8,MOD(H3513,30)&lt;=18),1*VLOOKUP(D3513,'报价表-配送'!$B$68:$I$72,7,0),0)+IF(AND(MOD(H3513,30)&lt;=8,MOD(H3513,30)&gt;2.5),1,0)*VLOOKUP(D3513,'报价表-配送'!$B$68:$I$72,6,0)+IF(AND(MOD(H3513,30)&lt;=2.5,MOD(H3513,30)&gt;=1.5),1,0)*VLOOKUP(D3513,'报价表-配送'!$B$68:$I$72,5,0)</f>
        <v>0</v>
      </c>
      <c r="M3513" s="39">
        <f>IF(AND(MOD(H3513,30)&lt;1.5,MOD(H3513,30)&gt;=0.5),H3513,0)*VLOOKUP(D3513,'报价表-配送'!$B$68:$I$72,4,0)*1000+IF(AND(MOD(H3513,30)&lt;0.5,MOD(H3513,30)&gt;=0.02),H3513,0)*VLOOKUP(D3513,'报价表-配送'!$B$68:$I$72,3,0)*1000+IF(AND(MOD(H3513,30)&lt;0.02),H3513,0)*VLOOKUP(D3513,'报价表-配送'!$B$68:$I$72,2,0)*1000</f>
        <v>0</v>
      </c>
      <c r="N3513" s="127">
        <f t="shared" si="242"/>
        <v>0</v>
      </c>
    </row>
    <row r="3514" spans="1:14" x14ac:dyDescent="0.25">
      <c r="A3514" s="121" t="s">
        <v>78</v>
      </c>
      <c r="B3514" s="121" t="s">
        <v>155</v>
      </c>
      <c r="C3514" s="62">
        <f>VLOOKUP(B3514,合并仓明细!$D$2:$F$74,3,0)</f>
        <v>185</v>
      </c>
      <c r="D3514" s="122" t="s">
        <v>413</v>
      </c>
      <c r="E3514" s="123">
        <v>46009</v>
      </c>
      <c r="F3514" s="121" t="s">
        <v>66</v>
      </c>
      <c r="G3514" s="121">
        <v>28.9</v>
      </c>
      <c r="H3514" s="124">
        <v>2.8899999999999999E-2</v>
      </c>
      <c r="I3514" s="125"/>
      <c r="J3514" s="125"/>
      <c r="K3514" s="125"/>
      <c r="L3514" s="37">
        <f>IF(H3514&gt;30,QUOTIENT(H3514,30)*VLOOKUP(D3514,'报价表-配送'!$B$68:$I$72,8,0),0)+IF(AND(MOD(H3514,30)&gt;18,MOD(H3514,30)&lt;=30),1,0)*VLOOKUP(D3514,'报价表-配送'!$B$68:$I$72,8,0)+IF(AND(MOD(H3514,30)&gt;8,MOD(H3514,30)&lt;=18),1*VLOOKUP(D3514,'报价表-配送'!$B$68:$I$72,7,0),0)+IF(AND(MOD(H3514,30)&lt;=8,MOD(H3514,30)&gt;2.5),1,0)*VLOOKUP(D3514,'报价表-配送'!$B$68:$I$72,6,0)+IF(AND(MOD(H3514,30)&lt;=2.5,MOD(H3514,30)&gt;=1.5),1,0)*VLOOKUP(D3514,'报价表-配送'!$B$68:$I$72,5,0)</f>
        <v>0</v>
      </c>
      <c r="M3514" s="39">
        <f>IF(AND(MOD(H3514,30)&lt;1.5,MOD(H3514,30)&gt;=0.5),H3514,0)*VLOOKUP(D3514,'报价表-配送'!$B$68:$I$72,4,0)*1000+IF(AND(MOD(H3514,30)&lt;0.5,MOD(H3514,30)&gt;=0.02),H3514,0)*VLOOKUP(D3514,'报价表-配送'!$B$68:$I$72,3,0)*1000+IF(AND(MOD(H3514,30)&lt;0.02),H3514,0)*VLOOKUP(D3514,'报价表-配送'!$B$68:$I$72,2,0)*1000</f>
        <v>0</v>
      </c>
      <c r="N3514" s="127">
        <f t="shared" si="242"/>
        <v>0</v>
      </c>
    </row>
    <row r="3515" spans="1:14" x14ac:dyDescent="0.25">
      <c r="A3515" s="121" t="s">
        <v>78</v>
      </c>
      <c r="B3515" s="121" t="s">
        <v>155</v>
      </c>
      <c r="C3515" s="62">
        <f>VLOOKUP(B3515,合并仓明细!$D$2:$F$74,3,0)</f>
        <v>185</v>
      </c>
      <c r="D3515" s="122" t="s">
        <v>413</v>
      </c>
      <c r="E3515" s="123">
        <v>46031</v>
      </c>
      <c r="F3515" s="121" t="s">
        <v>66</v>
      </c>
      <c r="G3515" s="121">
        <v>89.65</v>
      </c>
      <c r="H3515" s="124">
        <v>8.9650000000000007E-2</v>
      </c>
      <c r="I3515" s="125"/>
      <c r="J3515" s="125"/>
      <c r="K3515" s="125"/>
      <c r="L3515" s="37">
        <f>IF(H3515&gt;30,QUOTIENT(H3515,30)*VLOOKUP(D3515,'报价表-配送'!$B$68:$I$72,8,0),0)+IF(AND(MOD(H3515,30)&gt;18,MOD(H3515,30)&lt;=30),1,0)*VLOOKUP(D3515,'报价表-配送'!$B$68:$I$72,8,0)+IF(AND(MOD(H3515,30)&gt;8,MOD(H3515,30)&lt;=18),1*VLOOKUP(D3515,'报价表-配送'!$B$68:$I$72,7,0),0)+IF(AND(MOD(H3515,30)&lt;=8,MOD(H3515,30)&gt;2.5),1,0)*VLOOKUP(D3515,'报价表-配送'!$B$68:$I$72,6,0)+IF(AND(MOD(H3515,30)&lt;=2.5,MOD(H3515,30)&gt;=1.5),1,0)*VLOOKUP(D3515,'报价表-配送'!$B$68:$I$72,5,0)</f>
        <v>0</v>
      </c>
      <c r="M3515" s="39">
        <f>IF(AND(MOD(H3515,30)&lt;1.5,MOD(H3515,30)&gt;=0.5),H3515,0)*VLOOKUP(D3515,'报价表-配送'!$B$68:$I$72,4,0)*1000+IF(AND(MOD(H3515,30)&lt;0.5,MOD(H3515,30)&gt;=0.02),H3515,0)*VLOOKUP(D3515,'报价表-配送'!$B$68:$I$72,3,0)*1000+IF(AND(MOD(H3515,30)&lt;0.02),H3515,0)*VLOOKUP(D3515,'报价表-配送'!$B$68:$I$72,2,0)*1000</f>
        <v>0</v>
      </c>
      <c r="N3515" s="127">
        <f t="shared" si="242"/>
        <v>0</v>
      </c>
    </row>
    <row r="3516" spans="1:14" x14ac:dyDescent="0.25">
      <c r="A3516" s="121" t="s">
        <v>78</v>
      </c>
      <c r="B3516" s="121" t="s">
        <v>155</v>
      </c>
      <c r="C3516" s="62">
        <f>VLOOKUP(B3516,合并仓明细!$D$2:$F$74,3,0)</f>
        <v>185</v>
      </c>
      <c r="D3516" s="122" t="s">
        <v>413</v>
      </c>
      <c r="E3516" s="123">
        <v>46058</v>
      </c>
      <c r="F3516" s="121" t="s">
        <v>66</v>
      </c>
      <c r="G3516" s="121">
        <v>57.2083333</v>
      </c>
      <c r="H3516" s="124">
        <v>5.7208333299999997E-2</v>
      </c>
      <c r="I3516" s="125"/>
      <c r="J3516" s="125"/>
      <c r="K3516" s="125"/>
      <c r="L3516" s="37">
        <f>IF(H3516&gt;30,QUOTIENT(H3516,30)*VLOOKUP(D3516,'报价表-配送'!$B$68:$I$72,8,0),0)+IF(AND(MOD(H3516,30)&gt;18,MOD(H3516,30)&lt;=30),1,0)*VLOOKUP(D3516,'报价表-配送'!$B$68:$I$72,8,0)+IF(AND(MOD(H3516,30)&gt;8,MOD(H3516,30)&lt;=18),1*VLOOKUP(D3516,'报价表-配送'!$B$68:$I$72,7,0),0)+IF(AND(MOD(H3516,30)&lt;=8,MOD(H3516,30)&gt;2.5),1,0)*VLOOKUP(D3516,'报价表-配送'!$B$68:$I$72,6,0)+IF(AND(MOD(H3516,30)&lt;=2.5,MOD(H3516,30)&gt;=1.5),1,0)*VLOOKUP(D3516,'报价表-配送'!$B$68:$I$72,5,0)</f>
        <v>0</v>
      </c>
      <c r="M3516" s="39">
        <f>IF(AND(MOD(H3516,30)&lt;1.5,MOD(H3516,30)&gt;=0.5),H3516,0)*VLOOKUP(D3516,'报价表-配送'!$B$68:$I$72,4,0)*1000+IF(AND(MOD(H3516,30)&lt;0.5,MOD(H3516,30)&gt;=0.02),H3516,0)*VLOOKUP(D3516,'报价表-配送'!$B$68:$I$72,3,0)*1000+IF(AND(MOD(H3516,30)&lt;0.02),H3516,0)*VLOOKUP(D3516,'报价表-配送'!$B$68:$I$72,2,0)*1000</f>
        <v>0</v>
      </c>
      <c r="N3516" s="127">
        <f t="shared" si="242"/>
        <v>0</v>
      </c>
    </row>
    <row r="3517" spans="1:14" x14ac:dyDescent="0.25">
      <c r="A3517" s="121" t="s">
        <v>99</v>
      </c>
      <c r="B3517" s="121" t="s">
        <v>100</v>
      </c>
      <c r="C3517" s="62">
        <f>VLOOKUP(B3517,合并仓明细!$D$2:$F$74,3,0)</f>
        <v>304</v>
      </c>
      <c r="D3517" s="122" t="s">
        <v>410</v>
      </c>
      <c r="E3517" s="123">
        <v>45947</v>
      </c>
      <c r="F3517" s="121" t="s">
        <v>68</v>
      </c>
      <c r="G3517" s="121">
        <v>3801.8159999999998</v>
      </c>
      <c r="H3517" s="124">
        <v>7.0318544998599997</v>
      </c>
      <c r="I3517" s="46">
        <f>ROUNDUP(H3517/30,0)*VLOOKUP(D3517,'报价表-配送'!$B$2:$I$6,8,0)</f>
        <v>0</v>
      </c>
      <c r="J3517" s="125"/>
      <c r="K3517" s="125"/>
      <c r="L3517" s="121"/>
      <c r="M3517" s="126"/>
      <c r="N3517" s="127">
        <f t="shared" si="242"/>
        <v>0</v>
      </c>
    </row>
    <row r="3518" spans="1:14" x14ac:dyDescent="0.25">
      <c r="A3518" s="121" t="s">
        <v>99</v>
      </c>
      <c r="B3518" s="121" t="s">
        <v>100</v>
      </c>
      <c r="C3518" s="62">
        <f>VLOOKUP(B3518,合并仓明细!$D$2:$F$74,3,0)</f>
        <v>304</v>
      </c>
      <c r="D3518" s="122" t="s">
        <v>410</v>
      </c>
      <c r="E3518" s="123">
        <v>45947</v>
      </c>
      <c r="F3518" s="121" t="s">
        <v>66</v>
      </c>
      <c r="G3518" s="121">
        <v>3230.0384998600002</v>
      </c>
      <c r="H3518" s="124"/>
      <c r="I3518" s="125"/>
      <c r="J3518" s="125"/>
      <c r="K3518" s="125"/>
      <c r="L3518" s="121"/>
      <c r="M3518" s="126"/>
      <c r="N3518" s="121"/>
    </row>
    <row r="3519" spans="1:14" x14ac:dyDescent="0.25">
      <c r="A3519" s="121" t="s">
        <v>99</v>
      </c>
      <c r="B3519" s="121" t="s">
        <v>100</v>
      </c>
      <c r="C3519" s="62">
        <f>VLOOKUP(B3519,合并仓明细!$D$2:$F$74,3,0)</f>
        <v>304</v>
      </c>
      <c r="D3519" s="122" t="s">
        <v>410</v>
      </c>
      <c r="E3519" s="123">
        <v>45954</v>
      </c>
      <c r="F3519" s="121" t="s">
        <v>68</v>
      </c>
      <c r="G3519" s="121">
        <v>3132.6708720000001</v>
      </c>
      <c r="H3519" s="124">
        <v>10.360498521510001</v>
      </c>
      <c r="I3519" s="46">
        <f>ROUNDUP(H3519/30,0)*VLOOKUP(D3519,'报价表-配送'!$B$2:$I$6,8,0)</f>
        <v>0</v>
      </c>
      <c r="J3519" s="125"/>
      <c r="K3519" s="125"/>
      <c r="L3519" s="121"/>
      <c r="M3519" s="126"/>
      <c r="N3519" s="127">
        <f t="shared" ref="N3519" si="243">SUM(I3519:L3519)</f>
        <v>0</v>
      </c>
    </row>
    <row r="3520" spans="1:14" x14ac:dyDescent="0.25">
      <c r="A3520" s="121" t="s">
        <v>99</v>
      </c>
      <c r="B3520" s="121" t="s">
        <v>100</v>
      </c>
      <c r="C3520" s="62">
        <f>VLOOKUP(B3520,合并仓明细!$D$2:$F$74,3,0)</f>
        <v>304</v>
      </c>
      <c r="D3520" s="122" t="s">
        <v>410</v>
      </c>
      <c r="E3520" s="123">
        <v>45954</v>
      </c>
      <c r="F3520" s="121" t="s">
        <v>67</v>
      </c>
      <c r="G3520" s="121">
        <v>3991.4883399999999</v>
      </c>
      <c r="H3520" s="124"/>
      <c r="I3520" s="125"/>
      <c r="J3520" s="125"/>
      <c r="K3520" s="125"/>
      <c r="L3520" s="121"/>
      <c r="M3520" s="126"/>
      <c r="N3520" s="121"/>
    </row>
    <row r="3521" spans="1:14" x14ac:dyDescent="0.25">
      <c r="A3521" s="121" t="s">
        <v>99</v>
      </c>
      <c r="B3521" s="121" t="s">
        <v>100</v>
      </c>
      <c r="C3521" s="62">
        <f>VLOOKUP(B3521,合并仓明细!$D$2:$F$74,3,0)</f>
        <v>304</v>
      </c>
      <c r="D3521" s="122" t="s">
        <v>410</v>
      </c>
      <c r="E3521" s="123">
        <v>45954</v>
      </c>
      <c r="F3521" s="121" t="s">
        <v>66</v>
      </c>
      <c r="G3521" s="121">
        <v>3236.3393095099996</v>
      </c>
      <c r="H3521" s="124"/>
      <c r="I3521" s="125"/>
      <c r="J3521" s="125"/>
      <c r="K3521" s="125"/>
      <c r="L3521" s="121"/>
      <c r="M3521" s="126"/>
      <c r="N3521" s="121"/>
    </row>
    <row r="3522" spans="1:14" x14ac:dyDescent="0.25">
      <c r="A3522" s="121" t="s">
        <v>99</v>
      </c>
      <c r="B3522" s="121" t="s">
        <v>100</v>
      </c>
      <c r="C3522" s="62">
        <f>VLOOKUP(B3522,合并仓明细!$D$2:$F$74,3,0)</f>
        <v>304</v>
      </c>
      <c r="D3522" s="122" t="s">
        <v>410</v>
      </c>
      <c r="E3522" s="123">
        <v>45966</v>
      </c>
      <c r="F3522" s="121" t="s">
        <v>68</v>
      </c>
      <c r="G3522" s="121">
        <v>1747.4213999999997</v>
      </c>
      <c r="H3522" s="124">
        <v>4.3075106416899995</v>
      </c>
      <c r="I3522" s="46">
        <f>ROUNDUP(H3522/30,0)*VLOOKUP(D3522,'报价表-配送'!$B$2:$I$6,8,0)</f>
        <v>0</v>
      </c>
      <c r="J3522" s="125"/>
      <c r="K3522" s="125"/>
      <c r="L3522" s="121"/>
      <c r="M3522" s="126"/>
      <c r="N3522" s="127">
        <f t="shared" ref="N3522" si="244">SUM(I3522:L3522)</f>
        <v>0</v>
      </c>
    </row>
    <row r="3523" spans="1:14" x14ac:dyDescent="0.25">
      <c r="A3523" s="121" t="s">
        <v>99</v>
      </c>
      <c r="B3523" s="121" t="s">
        <v>100</v>
      </c>
      <c r="C3523" s="62">
        <f>VLOOKUP(B3523,合并仓明细!$D$2:$F$74,3,0)</f>
        <v>304</v>
      </c>
      <c r="D3523" s="122" t="s">
        <v>410</v>
      </c>
      <c r="E3523" s="123">
        <v>45966</v>
      </c>
      <c r="F3523" s="121" t="s">
        <v>67</v>
      </c>
      <c r="G3523" s="121">
        <v>1670.7063629999998</v>
      </c>
      <c r="H3523" s="124"/>
      <c r="I3523" s="125"/>
      <c r="J3523" s="125"/>
      <c r="K3523" s="125"/>
      <c r="L3523" s="121"/>
      <c r="M3523" s="126"/>
      <c r="N3523" s="121"/>
    </row>
    <row r="3524" spans="1:14" x14ac:dyDescent="0.25">
      <c r="A3524" s="121" t="s">
        <v>99</v>
      </c>
      <c r="B3524" s="121" t="s">
        <v>100</v>
      </c>
      <c r="C3524" s="62">
        <f>VLOOKUP(B3524,合并仓明细!$D$2:$F$74,3,0)</f>
        <v>304</v>
      </c>
      <c r="D3524" s="122" t="s">
        <v>410</v>
      </c>
      <c r="E3524" s="123">
        <v>45966</v>
      </c>
      <c r="F3524" s="121" t="s">
        <v>66</v>
      </c>
      <c r="G3524" s="121">
        <v>889.38287868999987</v>
      </c>
      <c r="H3524" s="124"/>
      <c r="I3524" s="125"/>
      <c r="J3524" s="125"/>
      <c r="K3524" s="125"/>
      <c r="L3524" s="121"/>
      <c r="M3524" s="126"/>
      <c r="N3524" s="121"/>
    </row>
    <row r="3525" spans="1:14" x14ac:dyDescent="0.25">
      <c r="A3525" s="121" t="s">
        <v>99</v>
      </c>
      <c r="B3525" s="121" t="s">
        <v>100</v>
      </c>
      <c r="C3525" s="62">
        <f>VLOOKUP(B3525,合并仓明细!$D$2:$F$74,3,0)</f>
        <v>304</v>
      </c>
      <c r="D3525" s="122" t="s">
        <v>410</v>
      </c>
      <c r="E3525" s="123">
        <v>45974</v>
      </c>
      <c r="F3525" s="121" t="s">
        <v>67</v>
      </c>
      <c r="G3525" s="121">
        <v>4743.1850519999998</v>
      </c>
      <c r="H3525" s="124">
        <v>5.9275850520000004</v>
      </c>
      <c r="I3525" s="38">
        <f>IF(H3525&gt;30,QUOTIENT(H3525,30)*VLOOKUP(D3525,'报价表-配送'!$B$2:$I$6,8,0),0)+IF(AND(MOD(H3525,30)&gt;18,MOD(H3525,30)&lt;=30),1,0)*VLOOKUP(D3525,'报价表-配送'!$B$2:$I$6,8,0)</f>
        <v>0</v>
      </c>
      <c r="J3525" s="38">
        <f>IF(AND(MOD(H3525,30)&gt;8,MOD(H3525,30)&lt;=18),1*VLOOKUP(D3525,'报价表-配送'!$B$2:$I$6,7,0),0)</f>
        <v>0</v>
      </c>
      <c r="K3525" s="38">
        <f>IF(AND(MOD(H3525,30)&lt;=8,MOD(H3525,30)&gt;0),1,0)*VLOOKUP(D3525,'报价表-配送'!$B$2:$I$6,6,0)</f>
        <v>0</v>
      </c>
      <c r="L3525" s="121"/>
      <c r="M3525" s="126"/>
      <c r="N3525" s="127">
        <f t="shared" ref="N3525" si="245">SUM(I3525:L3525)</f>
        <v>0</v>
      </c>
    </row>
    <row r="3526" spans="1:14" x14ac:dyDescent="0.25">
      <c r="A3526" s="121" t="s">
        <v>99</v>
      </c>
      <c r="B3526" s="121" t="s">
        <v>100</v>
      </c>
      <c r="C3526" s="62">
        <f>VLOOKUP(B3526,合并仓明细!$D$2:$F$74,3,0)</f>
        <v>304</v>
      </c>
      <c r="D3526" s="122" t="s">
        <v>410</v>
      </c>
      <c r="E3526" s="123">
        <v>45974</v>
      </c>
      <c r="F3526" s="121" t="s">
        <v>66</v>
      </c>
      <c r="G3526" s="121">
        <v>1184.4000000000001</v>
      </c>
      <c r="H3526" s="124"/>
      <c r="I3526" s="125"/>
      <c r="J3526" s="125"/>
      <c r="K3526" s="125"/>
      <c r="L3526" s="121"/>
      <c r="M3526" s="126"/>
      <c r="N3526" s="121"/>
    </row>
    <row r="3527" spans="1:14" x14ac:dyDescent="0.25">
      <c r="A3527" s="121" t="s">
        <v>99</v>
      </c>
      <c r="B3527" s="121" t="s">
        <v>100</v>
      </c>
      <c r="C3527" s="62">
        <f>VLOOKUP(B3527,合并仓明细!$D$2:$F$74,3,0)</f>
        <v>304</v>
      </c>
      <c r="D3527" s="122" t="s">
        <v>410</v>
      </c>
      <c r="E3527" s="123">
        <v>45981</v>
      </c>
      <c r="F3527" s="121" t="s">
        <v>68</v>
      </c>
      <c r="G3527" s="121">
        <v>3718.3188</v>
      </c>
      <c r="H3527" s="124">
        <v>6.6831880514300002</v>
      </c>
      <c r="I3527" s="46">
        <f>ROUNDUP(H3527/30,0)*VLOOKUP(D3527,'报价表-配送'!$B$2:$I$6,8,0)</f>
        <v>0</v>
      </c>
      <c r="J3527" s="125"/>
      <c r="K3527" s="125"/>
      <c r="L3527" s="121"/>
      <c r="M3527" s="126"/>
      <c r="N3527" s="127">
        <f t="shared" ref="N3527" si="246">SUM(I3527:L3527)</f>
        <v>0</v>
      </c>
    </row>
    <row r="3528" spans="1:14" x14ac:dyDescent="0.25">
      <c r="A3528" s="121" t="s">
        <v>99</v>
      </c>
      <c r="B3528" s="121" t="s">
        <v>100</v>
      </c>
      <c r="C3528" s="62">
        <f>VLOOKUP(B3528,合并仓明细!$D$2:$F$74,3,0)</f>
        <v>304</v>
      </c>
      <c r="D3528" s="122" t="s">
        <v>410</v>
      </c>
      <c r="E3528" s="123">
        <v>45981</v>
      </c>
      <c r="F3528" s="121" t="s">
        <v>67</v>
      </c>
      <c r="G3528" s="121">
        <v>2492.2926800000005</v>
      </c>
      <c r="H3528" s="124"/>
      <c r="I3528" s="125"/>
      <c r="J3528" s="125"/>
      <c r="K3528" s="125"/>
      <c r="L3528" s="121"/>
      <c r="M3528" s="126"/>
      <c r="N3528" s="121"/>
    </row>
    <row r="3529" spans="1:14" x14ac:dyDescent="0.25">
      <c r="A3529" s="121" t="s">
        <v>99</v>
      </c>
      <c r="B3529" s="121" t="s">
        <v>100</v>
      </c>
      <c r="C3529" s="62">
        <f>VLOOKUP(B3529,合并仓明细!$D$2:$F$74,3,0)</f>
        <v>304</v>
      </c>
      <c r="D3529" s="122" t="s">
        <v>410</v>
      </c>
      <c r="E3529" s="123">
        <v>45981</v>
      </c>
      <c r="F3529" s="121" t="s">
        <v>66</v>
      </c>
      <c r="G3529" s="121">
        <v>472.57657143</v>
      </c>
      <c r="H3529" s="124"/>
      <c r="I3529" s="125"/>
      <c r="J3529" s="125"/>
      <c r="K3529" s="125"/>
      <c r="L3529" s="121"/>
      <c r="M3529" s="126"/>
      <c r="N3529" s="121"/>
    </row>
    <row r="3530" spans="1:14" x14ac:dyDescent="0.25">
      <c r="A3530" s="121" t="s">
        <v>99</v>
      </c>
      <c r="B3530" s="121" t="s">
        <v>100</v>
      </c>
      <c r="C3530" s="62">
        <f>VLOOKUP(B3530,合并仓明细!$D$2:$F$74,3,0)</f>
        <v>304</v>
      </c>
      <c r="D3530" s="122" t="s">
        <v>410</v>
      </c>
      <c r="E3530" s="123">
        <v>45987</v>
      </c>
      <c r="F3530" s="121" t="s">
        <v>66</v>
      </c>
      <c r="G3530" s="121">
        <v>36.400000000000006</v>
      </c>
      <c r="H3530" s="124">
        <v>3.6400000000000009E-2</v>
      </c>
      <c r="I3530" s="125"/>
      <c r="J3530" s="125"/>
      <c r="K3530" s="125"/>
      <c r="L3530" s="37">
        <f>IF(H3530&gt;30,QUOTIENT(H3530,30)*VLOOKUP(D3530,'报价表-配送'!$B$2:$I$6,8,0),0)+IF(AND(MOD(H3530,30)&gt;18,MOD(H3530,30)&lt;=30),1,0)*VLOOKUP(D3530,'报价表-配送'!$B$2:$I$6,8,0)+IF(AND(MOD(H3530,30)&gt;8,MOD(H3530,30)&lt;=18),1*VLOOKUP(D3530,'报价表-配送'!$B$2:$I$6,7,0),0)+IF(AND(MOD(H3530,30)&lt;=8,MOD(H3530,30)&gt;2.5),1,0)*VLOOKUP(D3530,'报价表-配送'!$B$2:$I$6,6,0)+IF(AND(MOD(H3530,30)&lt;=2.5,MOD(H3530,30)&gt;=1.5),1,0)*VLOOKUP(D3530,'报价表-配送'!$B$2:$I$6,5,0)</f>
        <v>0</v>
      </c>
      <c r="M3530" s="39">
        <f>IF(AND(MOD(H3530,30)&lt;1.5,MOD(H3530,30)&gt;=0.5),H3530,0)*VLOOKUP(D3530,'报价表-配送'!$B$2:$I$6,4,0)*1000+IF(AND(MOD(H3530,30)&lt;0.5,MOD(H3530,30)&gt;=0.02),H3530,0)*VLOOKUP(D3530,'报价表-配送'!$B$2:$I$6,3,0)*1000+IF(AND(MOD(H3530,30)&lt;0.02),H3530,0)*VLOOKUP(D3530,'报价表-配送'!$B$2:$I$6,2,0)*1000</f>
        <v>0</v>
      </c>
      <c r="N3530" s="127">
        <f t="shared" ref="N3530:N3531" si="247">SUM(I3530:L3530)</f>
        <v>0</v>
      </c>
    </row>
    <row r="3531" spans="1:14" x14ac:dyDescent="0.25">
      <c r="A3531" s="121" t="s">
        <v>99</v>
      </c>
      <c r="B3531" s="121" t="s">
        <v>100</v>
      </c>
      <c r="C3531" s="62">
        <f>VLOOKUP(B3531,合并仓明细!$D$2:$F$74,3,0)</f>
        <v>304</v>
      </c>
      <c r="D3531" s="122" t="s">
        <v>410</v>
      </c>
      <c r="E3531" s="123">
        <v>45995</v>
      </c>
      <c r="F3531" s="121" t="s">
        <v>68</v>
      </c>
      <c r="G3531" s="121">
        <v>725.84</v>
      </c>
      <c r="H3531" s="124">
        <v>5.9090600000000002</v>
      </c>
      <c r="I3531" s="46">
        <f>ROUNDUP(H3531/30,0)*VLOOKUP(D3531,'报价表-配送'!$B$2:$I$6,8,0)</f>
        <v>0</v>
      </c>
      <c r="J3531" s="125"/>
      <c r="K3531" s="125"/>
      <c r="L3531" s="121"/>
      <c r="M3531" s="126"/>
      <c r="N3531" s="127">
        <f t="shared" si="247"/>
        <v>0</v>
      </c>
    </row>
    <row r="3532" spans="1:14" x14ac:dyDescent="0.25">
      <c r="A3532" s="121" t="s">
        <v>99</v>
      </c>
      <c r="B3532" s="121" t="s">
        <v>100</v>
      </c>
      <c r="C3532" s="62">
        <f>VLOOKUP(B3532,合并仓明细!$D$2:$F$74,3,0)</f>
        <v>304</v>
      </c>
      <c r="D3532" s="122" t="s">
        <v>410</v>
      </c>
      <c r="E3532" s="123">
        <v>45995</v>
      </c>
      <c r="F3532" s="121" t="s">
        <v>67</v>
      </c>
      <c r="G3532" s="121">
        <v>2943.02</v>
      </c>
      <c r="H3532" s="124"/>
      <c r="I3532" s="125"/>
      <c r="J3532" s="125"/>
      <c r="K3532" s="125"/>
      <c r="L3532" s="121"/>
      <c r="M3532" s="126"/>
      <c r="N3532" s="121"/>
    </row>
    <row r="3533" spans="1:14" x14ac:dyDescent="0.25">
      <c r="A3533" s="121" t="s">
        <v>99</v>
      </c>
      <c r="B3533" s="121" t="s">
        <v>100</v>
      </c>
      <c r="C3533" s="62">
        <f>VLOOKUP(B3533,合并仓明细!$D$2:$F$74,3,0)</f>
        <v>304</v>
      </c>
      <c r="D3533" s="122" t="s">
        <v>410</v>
      </c>
      <c r="E3533" s="123">
        <v>45995</v>
      </c>
      <c r="F3533" s="121" t="s">
        <v>66</v>
      </c>
      <c r="G3533" s="121">
        <v>2240.2000000000003</v>
      </c>
      <c r="H3533" s="124"/>
      <c r="I3533" s="125"/>
      <c r="J3533" s="125"/>
      <c r="K3533" s="125"/>
      <c r="L3533" s="121"/>
      <c r="M3533" s="126"/>
      <c r="N3533" s="121"/>
    </row>
    <row r="3534" spans="1:14" x14ac:dyDescent="0.25">
      <c r="A3534" s="121" t="s">
        <v>99</v>
      </c>
      <c r="B3534" s="121" t="s">
        <v>100</v>
      </c>
      <c r="C3534" s="62">
        <f>VLOOKUP(B3534,合并仓明细!$D$2:$F$74,3,0)</f>
        <v>304</v>
      </c>
      <c r="D3534" s="122" t="s">
        <v>410</v>
      </c>
      <c r="E3534" s="123">
        <v>46000</v>
      </c>
      <c r="F3534" s="121" t="s">
        <v>66</v>
      </c>
      <c r="G3534" s="121">
        <v>755.1</v>
      </c>
      <c r="H3534" s="124">
        <v>0.75509999999999999</v>
      </c>
      <c r="I3534" s="125"/>
      <c r="J3534" s="125"/>
      <c r="K3534" s="125"/>
      <c r="L3534" s="37">
        <f>IF(H3534&gt;30,QUOTIENT(H3534,30)*VLOOKUP(D3534,'报价表-配送'!$B$2:$I$6,8,0),0)+IF(AND(MOD(H3534,30)&gt;18,MOD(H3534,30)&lt;=30),1,0)*VLOOKUP(D3534,'报价表-配送'!$B$2:$I$6,8,0)+IF(AND(MOD(H3534,30)&gt;8,MOD(H3534,30)&lt;=18),1*VLOOKUP(D3534,'报价表-配送'!$B$2:$I$6,7,0),0)+IF(AND(MOD(H3534,30)&lt;=8,MOD(H3534,30)&gt;2.5),1,0)*VLOOKUP(D3534,'报价表-配送'!$B$2:$I$6,6,0)+IF(AND(MOD(H3534,30)&lt;=2.5,MOD(H3534,30)&gt;=1.5),1,0)*VLOOKUP(D3534,'报价表-配送'!$B$2:$I$6,5,0)</f>
        <v>0</v>
      </c>
      <c r="M3534" s="39">
        <f>IF(AND(MOD(H3534,30)&lt;1.5,MOD(H3534,30)&gt;=0.5),H3534,0)*VLOOKUP(D3534,'报价表-配送'!$B$2:$I$6,4,0)*1000+IF(AND(MOD(H3534,30)&lt;0.5,MOD(H3534,30)&gt;=0.02),H3534,0)*VLOOKUP(D3534,'报价表-配送'!$B$2:$I$6,3,0)*1000+IF(AND(MOD(H3534,30)&lt;0.02),H3534,0)*VLOOKUP(D3534,'报价表-配送'!$B$2:$I$6,2,0)*1000</f>
        <v>0</v>
      </c>
      <c r="N3534" s="127">
        <f t="shared" ref="N3534:N3535" si="248">SUM(I3534:L3534)</f>
        <v>0</v>
      </c>
    </row>
    <row r="3535" spans="1:14" x14ac:dyDescent="0.25">
      <c r="A3535" s="121" t="s">
        <v>99</v>
      </c>
      <c r="B3535" s="121" t="s">
        <v>100</v>
      </c>
      <c r="C3535" s="62">
        <f>VLOOKUP(B3535,合并仓明细!$D$2:$F$74,3,0)</f>
        <v>304</v>
      </c>
      <c r="D3535" s="122" t="s">
        <v>410</v>
      </c>
      <c r="E3535" s="123">
        <v>46008</v>
      </c>
      <c r="F3535" s="121" t="s">
        <v>68</v>
      </c>
      <c r="G3535" s="121">
        <v>1689.6959999999999</v>
      </c>
      <c r="H3535" s="124">
        <v>3.4244460000000001</v>
      </c>
      <c r="I3535" s="46">
        <f>ROUNDUP(H3535/30,0)*VLOOKUP(D3535,'报价表-配送'!$B$2:$I$6,8,0)</f>
        <v>0</v>
      </c>
      <c r="J3535" s="125"/>
      <c r="K3535" s="125"/>
      <c r="L3535" s="121"/>
      <c r="M3535" s="126"/>
      <c r="N3535" s="127">
        <f t="shared" si="248"/>
        <v>0</v>
      </c>
    </row>
    <row r="3536" spans="1:14" x14ac:dyDescent="0.25">
      <c r="A3536" s="121" t="s">
        <v>99</v>
      </c>
      <c r="B3536" s="121" t="s">
        <v>100</v>
      </c>
      <c r="C3536" s="62">
        <f>VLOOKUP(B3536,合并仓明细!$D$2:$F$74,3,0)</f>
        <v>304</v>
      </c>
      <c r="D3536" s="122" t="s">
        <v>410</v>
      </c>
      <c r="E3536" s="123">
        <v>46008</v>
      </c>
      <c r="F3536" s="121" t="s">
        <v>67</v>
      </c>
      <c r="G3536" s="121">
        <v>1354.82</v>
      </c>
      <c r="H3536" s="124"/>
      <c r="I3536" s="125"/>
      <c r="J3536" s="125"/>
      <c r="K3536" s="125"/>
      <c r="L3536" s="121"/>
      <c r="M3536" s="126"/>
      <c r="N3536" s="121"/>
    </row>
    <row r="3537" spans="1:14" x14ac:dyDescent="0.25">
      <c r="A3537" s="121" t="s">
        <v>99</v>
      </c>
      <c r="B3537" s="121" t="s">
        <v>100</v>
      </c>
      <c r="C3537" s="62">
        <f>VLOOKUP(B3537,合并仓明细!$D$2:$F$74,3,0)</f>
        <v>304</v>
      </c>
      <c r="D3537" s="122" t="s">
        <v>410</v>
      </c>
      <c r="E3537" s="123">
        <v>46008</v>
      </c>
      <c r="F3537" s="121" t="s">
        <v>66</v>
      </c>
      <c r="G3537" s="121">
        <v>379.93000000000006</v>
      </c>
      <c r="H3537" s="124"/>
      <c r="I3537" s="125"/>
      <c r="J3537" s="125"/>
      <c r="K3537" s="125"/>
      <c r="L3537" s="121"/>
      <c r="M3537" s="126"/>
      <c r="N3537" s="121"/>
    </row>
    <row r="3538" spans="1:14" x14ac:dyDescent="0.25">
      <c r="A3538" s="121" t="s">
        <v>99</v>
      </c>
      <c r="B3538" s="121" t="s">
        <v>100</v>
      </c>
      <c r="C3538" s="62">
        <f>VLOOKUP(B3538,合并仓明细!$D$2:$F$74,3,0)</f>
        <v>304</v>
      </c>
      <c r="D3538" s="122" t="s">
        <v>410</v>
      </c>
      <c r="E3538" s="123">
        <v>46016</v>
      </c>
      <c r="F3538" s="121" t="s">
        <v>66</v>
      </c>
      <c r="G3538" s="121">
        <v>240.82999999999998</v>
      </c>
      <c r="H3538" s="124">
        <v>0.24082999999999999</v>
      </c>
      <c r="I3538" s="125"/>
      <c r="J3538" s="125"/>
      <c r="K3538" s="125"/>
      <c r="L3538" s="37">
        <f>IF(H3538&gt;30,QUOTIENT(H3538,30)*VLOOKUP(D3538,'报价表-配送'!$B$2:$I$6,8,0),0)+IF(AND(MOD(H3538,30)&gt;18,MOD(H3538,30)&lt;=30),1,0)*VLOOKUP(D3538,'报价表-配送'!$B$2:$I$6,8,0)+IF(AND(MOD(H3538,30)&gt;8,MOD(H3538,30)&lt;=18),1*VLOOKUP(D3538,'报价表-配送'!$B$2:$I$6,7,0),0)+IF(AND(MOD(H3538,30)&lt;=8,MOD(H3538,30)&gt;2.5),1,0)*VLOOKUP(D3538,'报价表-配送'!$B$2:$I$6,6,0)+IF(AND(MOD(H3538,30)&lt;=2.5,MOD(H3538,30)&gt;=1.5),1,0)*VLOOKUP(D3538,'报价表-配送'!$B$2:$I$6,5,0)</f>
        <v>0</v>
      </c>
      <c r="M3538" s="39">
        <f>IF(AND(MOD(H3538,30)&lt;1.5,MOD(H3538,30)&gt;=0.5),H3538,0)*VLOOKUP(D3538,'报价表-配送'!$B$2:$I$6,4,0)*1000+IF(AND(MOD(H3538,30)&lt;0.5,MOD(H3538,30)&gt;=0.02),H3538,0)*VLOOKUP(D3538,'报价表-配送'!$B$2:$I$6,3,0)*1000+IF(AND(MOD(H3538,30)&lt;0.02),H3538,0)*VLOOKUP(D3538,'报价表-配送'!$B$2:$I$6,2,0)*1000</f>
        <v>0</v>
      </c>
      <c r="N3538" s="127">
        <f t="shared" ref="N3538:N3539" si="249">SUM(I3538:L3538)</f>
        <v>0</v>
      </c>
    </row>
    <row r="3539" spans="1:14" x14ac:dyDescent="0.25">
      <c r="A3539" s="121" t="s">
        <v>99</v>
      </c>
      <c r="B3539" s="121" t="s">
        <v>100</v>
      </c>
      <c r="C3539" s="62">
        <f>VLOOKUP(B3539,合并仓明细!$D$2:$F$74,3,0)</f>
        <v>304</v>
      </c>
      <c r="D3539" s="122" t="s">
        <v>410</v>
      </c>
      <c r="E3539" s="123">
        <v>46031</v>
      </c>
      <c r="F3539" s="121" t="s">
        <v>68</v>
      </c>
      <c r="G3539" s="121">
        <v>96.551999999999992</v>
      </c>
      <c r="H3539" s="124">
        <v>1.3348269949899996</v>
      </c>
      <c r="I3539" s="46">
        <f>ROUNDUP(H3539/30,0)*VLOOKUP(D3539,'报价表-配送'!$B$2:$I$6,8,0)</f>
        <v>0</v>
      </c>
      <c r="J3539" s="125"/>
      <c r="K3539" s="125"/>
      <c r="L3539" s="121"/>
      <c r="M3539" s="126"/>
      <c r="N3539" s="127">
        <f t="shared" si="249"/>
        <v>0</v>
      </c>
    </row>
    <row r="3540" spans="1:14" x14ac:dyDescent="0.25">
      <c r="A3540" s="121" t="s">
        <v>99</v>
      </c>
      <c r="B3540" s="121" t="s">
        <v>100</v>
      </c>
      <c r="C3540" s="62">
        <f>VLOOKUP(B3540,合并仓明细!$D$2:$F$74,3,0)</f>
        <v>304</v>
      </c>
      <c r="D3540" s="122" t="s">
        <v>410</v>
      </c>
      <c r="E3540" s="123">
        <v>46031</v>
      </c>
      <c r="F3540" s="121" t="s">
        <v>67</v>
      </c>
      <c r="G3540" s="121">
        <v>386.55499499999996</v>
      </c>
      <c r="H3540" s="124"/>
      <c r="I3540" s="125"/>
      <c r="J3540" s="125"/>
      <c r="K3540" s="125"/>
      <c r="L3540" s="121"/>
      <c r="M3540" s="126"/>
      <c r="N3540" s="121"/>
    </row>
    <row r="3541" spans="1:14" x14ac:dyDescent="0.25">
      <c r="A3541" s="121" t="s">
        <v>99</v>
      </c>
      <c r="B3541" s="121" t="s">
        <v>100</v>
      </c>
      <c r="C3541" s="62">
        <f>VLOOKUP(B3541,合并仓明细!$D$2:$F$74,3,0)</f>
        <v>304</v>
      </c>
      <c r="D3541" s="122" t="s">
        <v>410</v>
      </c>
      <c r="E3541" s="123">
        <v>46031</v>
      </c>
      <c r="F3541" s="121" t="s">
        <v>66</v>
      </c>
      <c r="G3541" s="121">
        <v>851.71999998999968</v>
      </c>
      <c r="H3541" s="124"/>
      <c r="I3541" s="125"/>
      <c r="J3541" s="125"/>
      <c r="K3541" s="125"/>
      <c r="L3541" s="121"/>
      <c r="M3541" s="126"/>
      <c r="N3541" s="121"/>
    </row>
    <row r="3542" spans="1:14" x14ac:dyDescent="0.25">
      <c r="A3542" s="121" t="s">
        <v>99</v>
      </c>
      <c r="B3542" s="121" t="s">
        <v>100</v>
      </c>
      <c r="C3542" s="62">
        <f>VLOOKUP(B3542,合并仓明细!$D$2:$F$74,3,0)</f>
        <v>304</v>
      </c>
      <c r="D3542" s="122" t="s">
        <v>410</v>
      </c>
      <c r="E3542" s="123">
        <v>46036</v>
      </c>
      <c r="F3542" s="121" t="s">
        <v>68</v>
      </c>
      <c r="G3542" s="121">
        <v>17.591999999999999</v>
      </c>
      <c r="H3542" s="124">
        <v>2.0880217566600003</v>
      </c>
      <c r="I3542" s="46">
        <f>ROUNDUP(H3542/30,0)*VLOOKUP(D3542,'报价表-配送'!$B$2:$I$6,8,0)</f>
        <v>0</v>
      </c>
      <c r="J3542" s="125"/>
      <c r="K3542" s="125"/>
      <c r="L3542" s="121"/>
      <c r="M3542" s="126"/>
      <c r="N3542" s="127">
        <f t="shared" ref="N3542" si="250">SUM(I3542:L3542)</f>
        <v>0</v>
      </c>
    </row>
    <row r="3543" spans="1:14" x14ac:dyDescent="0.25">
      <c r="A3543" s="121" t="s">
        <v>99</v>
      </c>
      <c r="B3543" s="121" t="s">
        <v>100</v>
      </c>
      <c r="C3543" s="62">
        <f>VLOOKUP(B3543,合并仓明细!$D$2:$F$74,3,0)</f>
        <v>304</v>
      </c>
      <c r="D3543" s="122" t="s">
        <v>410</v>
      </c>
      <c r="E3543" s="123">
        <v>46036</v>
      </c>
      <c r="F3543" s="121" t="s">
        <v>67</v>
      </c>
      <c r="G3543" s="121">
        <v>1751.6680900000001</v>
      </c>
      <c r="H3543" s="124"/>
      <c r="I3543" s="125"/>
      <c r="J3543" s="125"/>
      <c r="K3543" s="125"/>
      <c r="L3543" s="121"/>
      <c r="M3543" s="126"/>
      <c r="N3543" s="121"/>
    </row>
    <row r="3544" spans="1:14" x14ac:dyDescent="0.25">
      <c r="A3544" s="121" t="s">
        <v>99</v>
      </c>
      <c r="B3544" s="121" t="s">
        <v>100</v>
      </c>
      <c r="C3544" s="62">
        <f>VLOOKUP(B3544,合并仓明细!$D$2:$F$74,3,0)</f>
        <v>304</v>
      </c>
      <c r="D3544" s="122" t="s">
        <v>410</v>
      </c>
      <c r="E3544" s="123">
        <v>46036</v>
      </c>
      <c r="F3544" s="121" t="s">
        <v>66</v>
      </c>
      <c r="G3544" s="121">
        <v>318.76166666</v>
      </c>
      <c r="H3544" s="124"/>
      <c r="I3544" s="125"/>
      <c r="J3544" s="125"/>
      <c r="K3544" s="125"/>
      <c r="L3544" s="121"/>
      <c r="M3544" s="126"/>
      <c r="N3544" s="121"/>
    </row>
    <row r="3545" spans="1:14" x14ac:dyDescent="0.25">
      <c r="A3545" s="121" t="s">
        <v>99</v>
      </c>
      <c r="B3545" s="121" t="s">
        <v>100</v>
      </c>
      <c r="C3545" s="62">
        <f>VLOOKUP(B3545,合并仓明细!$D$2:$F$74,3,0)</f>
        <v>304</v>
      </c>
      <c r="D3545" s="122" t="s">
        <v>410</v>
      </c>
      <c r="E3545" s="123">
        <v>46049</v>
      </c>
      <c r="F3545" s="121" t="s">
        <v>67</v>
      </c>
      <c r="G3545" s="121">
        <v>1432.3751999999999</v>
      </c>
      <c r="H3545" s="124">
        <v>1.8127702000100001</v>
      </c>
      <c r="I3545" s="38">
        <f>IF(H3545&gt;30,QUOTIENT(H3545,30)*VLOOKUP(D3545,'报价表-配送'!$B$2:$I$6,8,0),0)+IF(AND(MOD(H3545,30)&gt;18,MOD(H3545,30)&lt;=30),1,0)*VLOOKUP(D3545,'报价表-配送'!$B$2:$I$6,8,0)</f>
        <v>0</v>
      </c>
      <c r="J3545" s="38">
        <f>IF(AND(MOD(H3545,30)&gt;8,MOD(H3545,30)&lt;=18),1*VLOOKUP(D3545,'报价表-配送'!$B$2:$I$6,7,0),0)</f>
        <v>0</v>
      </c>
      <c r="K3545" s="38">
        <f>IF(AND(MOD(H3545,30)&lt;=8,MOD(H3545,30)&gt;0),1,0)*VLOOKUP(D3545,'报价表-配送'!$B$2:$I$6,6,0)</f>
        <v>0</v>
      </c>
      <c r="L3545" s="121"/>
      <c r="M3545" s="126"/>
      <c r="N3545" s="127">
        <f t="shared" ref="N3545" si="251">SUM(I3545:L3545)</f>
        <v>0</v>
      </c>
    </row>
    <row r="3546" spans="1:14" x14ac:dyDescent="0.25">
      <c r="A3546" s="121" t="s">
        <v>99</v>
      </c>
      <c r="B3546" s="121" t="s">
        <v>100</v>
      </c>
      <c r="C3546" s="62">
        <f>VLOOKUP(B3546,合并仓明细!$D$2:$F$74,3,0)</f>
        <v>304</v>
      </c>
      <c r="D3546" s="122" t="s">
        <v>410</v>
      </c>
      <c r="E3546" s="123">
        <v>46049</v>
      </c>
      <c r="F3546" s="121" t="s">
        <v>66</v>
      </c>
      <c r="G3546" s="121">
        <v>380.39500001000005</v>
      </c>
      <c r="H3546" s="124"/>
      <c r="I3546" s="125"/>
      <c r="J3546" s="125"/>
      <c r="K3546" s="125"/>
      <c r="L3546" s="121"/>
      <c r="M3546" s="126"/>
      <c r="N3546" s="121"/>
    </row>
    <row r="3547" spans="1:14" x14ac:dyDescent="0.25">
      <c r="A3547" s="121" t="s">
        <v>99</v>
      </c>
      <c r="B3547" s="121" t="s">
        <v>100</v>
      </c>
      <c r="C3547" s="62">
        <f>VLOOKUP(B3547,合并仓明细!$D$2:$F$74,3,0)</f>
        <v>304</v>
      </c>
      <c r="D3547" s="122" t="s">
        <v>410</v>
      </c>
      <c r="E3547" s="123">
        <v>46058</v>
      </c>
      <c r="F3547" s="121" t="s">
        <v>66</v>
      </c>
      <c r="G3547" s="121">
        <v>387.56933332999995</v>
      </c>
      <c r="H3547" s="124">
        <v>0.38756933332999993</v>
      </c>
      <c r="I3547" s="125"/>
      <c r="J3547" s="125"/>
      <c r="K3547" s="125"/>
      <c r="L3547" s="37">
        <f>IF(H3547&gt;30,QUOTIENT(H3547,30)*VLOOKUP(D3547,'报价表-配送'!$B$2:$I$6,8,0),0)+IF(AND(MOD(H3547,30)&gt;18,MOD(H3547,30)&lt;=30),1,0)*VLOOKUP(D3547,'报价表-配送'!$B$2:$I$6,8,0)+IF(AND(MOD(H3547,30)&gt;8,MOD(H3547,30)&lt;=18),1*VLOOKUP(D3547,'报价表-配送'!$B$2:$I$6,7,0),0)+IF(AND(MOD(H3547,30)&lt;=8,MOD(H3547,30)&gt;2.5),1,0)*VLOOKUP(D3547,'报价表-配送'!$B$2:$I$6,6,0)+IF(AND(MOD(H3547,30)&lt;=2.5,MOD(H3547,30)&gt;=1.5),1,0)*VLOOKUP(D3547,'报价表-配送'!$B$2:$I$6,5,0)</f>
        <v>0</v>
      </c>
      <c r="M3547" s="39">
        <f>IF(AND(MOD(H3547,30)&lt;1.5,MOD(H3547,30)&gt;=0.5),H3547,0)*VLOOKUP(D3547,'报价表-配送'!$B$2:$I$6,4,0)*1000+IF(AND(MOD(H3547,30)&lt;0.5,MOD(H3547,30)&gt;=0.02),H3547,0)*VLOOKUP(D3547,'报价表-配送'!$B$2:$I$6,3,0)*1000+IF(AND(MOD(H3547,30)&lt;0.02),H3547,0)*VLOOKUP(D3547,'报价表-配送'!$B$2:$I$6,2,0)*1000</f>
        <v>0</v>
      </c>
      <c r="N3547" s="127">
        <f t="shared" ref="N3547:N3549" si="252">SUM(I3547:L3547)</f>
        <v>0</v>
      </c>
    </row>
    <row r="3548" spans="1:14" x14ac:dyDescent="0.25">
      <c r="A3548" s="121" t="s">
        <v>99</v>
      </c>
      <c r="B3548" s="121" t="s">
        <v>100</v>
      </c>
      <c r="C3548" s="62">
        <f>VLOOKUP(B3548,合并仓明细!$D$2:$F$74,3,0)</f>
        <v>304</v>
      </c>
      <c r="D3548" s="122" t="s">
        <v>410</v>
      </c>
      <c r="E3548" s="123">
        <v>46085</v>
      </c>
      <c r="F3548" s="121" t="s">
        <v>66</v>
      </c>
      <c r="G3548" s="121">
        <v>3.8</v>
      </c>
      <c r="H3548" s="124">
        <v>3.8E-3</v>
      </c>
      <c r="I3548" s="125"/>
      <c r="J3548" s="125"/>
      <c r="K3548" s="125"/>
      <c r="L3548" s="37">
        <f>IF(H3548&gt;30,QUOTIENT(H3548,30)*VLOOKUP(D3548,'报价表-配送'!$B$2:$I$6,8,0),0)+IF(AND(MOD(H3548,30)&gt;18,MOD(H3548,30)&lt;=30),1,0)*VLOOKUP(D3548,'报价表-配送'!$B$2:$I$6,8,0)+IF(AND(MOD(H3548,30)&gt;8,MOD(H3548,30)&lt;=18),1*VLOOKUP(D3548,'报价表-配送'!$B$2:$I$6,7,0),0)+IF(AND(MOD(H3548,30)&lt;=8,MOD(H3548,30)&gt;2.5),1,0)*VLOOKUP(D3548,'报价表-配送'!$B$2:$I$6,6,0)+IF(AND(MOD(H3548,30)&lt;=2.5,MOD(H3548,30)&gt;=1.5),1,0)*VLOOKUP(D3548,'报价表-配送'!$B$2:$I$6,5,0)</f>
        <v>0</v>
      </c>
      <c r="M3548" s="39">
        <f>IF(AND(MOD(H3548,30)&lt;1.5,MOD(H3548,30)&gt;=0.5),H3548,0)*VLOOKUP(D3548,'报价表-配送'!$B$2:$I$6,4,0)*1000+IF(AND(MOD(H3548,30)&lt;0.5,MOD(H3548,30)&gt;=0.02),H3548,0)*VLOOKUP(D3548,'报价表-配送'!$B$2:$I$6,3,0)*1000+IF(AND(MOD(H3548,30)&lt;0.02),H3548,0)*VLOOKUP(D3548,'报价表-配送'!$B$2:$I$6,2,0)*1000</f>
        <v>0</v>
      </c>
      <c r="N3548" s="127">
        <f t="shared" si="252"/>
        <v>0</v>
      </c>
    </row>
    <row r="3549" spans="1:14" x14ac:dyDescent="0.25">
      <c r="A3549" s="121" t="s">
        <v>99</v>
      </c>
      <c r="B3549" s="121" t="s">
        <v>100</v>
      </c>
      <c r="C3549" s="62">
        <f>VLOOKUP(B3549,合并仓明细!$D$2:$F$74,3,0)</f>
        <v>304</v>
      </c>
      <c r="D3549" s="122" t="s">
        <v>410</v>
      </c>
      <c r="E3549" s="123">
        <v>46093</v>
      </c>
      <c r="F3549" s="121" t="s">
        <v>68</v>
      </c>
      <c r="G3549" s="121">
        <v>17.591999999999999</v>
      </c>
      <c r="H3549" s="124">
        <v>0.89585369665999992</v>
      </c>
      <c r="I3549" s="46">
        <f>ROUNDUP(H3549/30,0)*VLOOKUP(D3549,'报价表-配送'!$B$2:$I$6,8,0)</f>
        <v>0</v>
      </c>
      <c r="J3549" s="125"/>
      <c r="K3549" s="125"/>
      <c r="L3549" s="121"/>
      <c r="M3549" s="126"/>
      <c r="N3549" s="127">
        <f t="shared" si="252"/>
        <v>0</v>
      </c>
    </row>
    <row r="3550" spans="1:14" x14ac:dyDescent="0.25">
      <c r="A3550" s="121" t="s">
        <v>99</v>
      </c>
      <c r="B3550" s="121" t="s">
        <v>100</v>
      </c>
      <c r="C3550" s="62">
        <f>VLOOKUP(B3550,合并仓明细!$D$2:$F$74,3,0)</f>
        <v>304</v>
      </c>
      <c r="D3550" s="122" t="s">
        <v>410</v>
      </c>
      <c r="E3550" s="123">
        <v>46093</v>
      </c>
      <c r="F3550" s="121" t="s">
        <v>67</v>
      </c>
      <c r="G3550" s="121">
        <v>664.24828000000002</v>
      </c>
      <c r="H3550" s="124"/>
      <c r="I3550" s="125"/>
      <c r="J3550" s="125"/>
      <c r="K3550" s="125"/>
      <c r="L3550" s="121"/>
      <c r="M3550" s="126"/>
      <c r="N3550" s="121"/>
    </row>
    <row r="3551" spans="1:14" x14ac:dyDescent="0.25">
      <c r="A3551" s="121" t="s">
        <v>99</v>
      </c>
      <c r="B3551" s="121" t="s">
        <v>100</v>
      </c>
      <c r="C3551" s="62">
        <f>VLOOKUP(B3551,合并仓明细!$D$2:$F$74,3,0)</f>
        <v>304</v>
      </c>
      <c r="D3551" s="122" t="s">
        <v>410</v>
      </c>
      <c r="E3551" s="123">
        <v>46093</v>
      </c>
      <c r="F3551" s="121" t="s">
        <v>66</v>
      </c>
      <c r="G3551" s="121">
        <v>214.01341665999999</v>
      </c>
      <c r="H3551" s="124"/>
      <c r="I3551" s="125"/>
      <c r="J3551" s="125"/>
      <c r="K3551" s="125"/>
      <c r="L3551" s="121"/>
      <c r="M3551" s="126"/>
      <c r="N3551" s="121"/>
    </row>
    <row r="3552" spans="1:14" x14ac:dyDescent="0.25">
      <c r="A3552" s="121" t="s">
        <v>99</v>
      </c>
      <c r="B3552" s="121" t="s">
        <v>100</v>
      </c>
      <c r="C3552" s="62">
        <f>VLOOKUP(B3552,合并仓明细!$D$2:$F$74,3,0)</f>
        <v>304</v>
      </c>
      <c r="D3552" s="122" t="s">
        <v>410</v>
      </c>
      <c r="E3552" s="123">
        <v>46108</v>
      </c>
      <c r="F3552" s="121" t="s">
        <v>68</v>
      </c>
      <c r="G3552" s="121">
        <v>2476.7159999999999</v>
      </c>
      <c r="H3552" s="124">
        <v>3.4144872435499996</v>
      </c>
      <c r="I3552" s="46">
        <f>ROUNDUP(H3552/30,0)*VLOOKUP(D3552,'报价表-配送'!$B$2:$I$6,8,0)</f>
        <v>0</v>
      </c>
      <c r="J3552" s="125"/>
      <c r="K3552" s="125"/>
      <c r="L3552" s="121"/>
      <c r="M3552" s="126"/>
      <c r="N3552" s="127">
        <f t="shared" ref="N3552" si="253">SUM(I3552:L3552)</f>
        <v>0</v>
      </c>
    </row>
    <row r="3553" spans="1:14" x14ac:dyDescent="0.25">
      <c r="A3553" s="121" t="s">
        <v>99</v>
      </c>
      <c r="B3553" s="121" t="s">
        <v>100</v>
      </c>
      <c r="C3553" s="62">
        <f>VLOOKUP(B3553,合并仓明细!$D$2:$F$74,3,0)</f>
        <v>304</v>
      </c>
      <c r="D3553" s="122" t="s">
        <v>410</v>
      </c>
      <c r="E3553" s="123">
        <v>46108</v>
      </c>
      <c r="F3553" s="121" t="s">
        <v>67</v>
      </c>
      <c r="G3553" s="121">
        <v>549.94291029999999</v>
      </c>
      <c r="H3553" s="124"/>
      <c r="I3553" s="125"/>
      <c r="J3553" s="125"/>
      <c r="K3553" s="125"/>
      <c r="L3553" s="121"/>
      <c r="M3553" s="126"/>
      <c r="N3553" s="121"/>
    </row>
    <row r="3554" spans="1:14" x14ac:dyDescent="0.25">
      <c r="A3554" s="121" t="s">
        <v>99</v>
      </c>
      <c r="B3554" s="121" t="s">
        <v>100</v>
      </c>
      <c r="C3554" s="62">
        <f>VLOOKUP(B3554,合并仓明细!$D$2:$F$74,3,0)</f>
        <v>304</v>
      </c>
      <c r="D3554" s="122" t="s">
        <v>410</v>
      </c>
      <c r="E3554" s="123">
        <v>46108</v>
      </c>
      <c r="F3554" s="121" t="s">
        <v>66</v>
      </c>
      <c r="G3554" s="121">
        <v>387.82833325000001</v>
      </c>
      <c r="H3554" s="124"/>
      <c r="I3554" s="125"/>
      <c r="J3554" s="125"/>
      <c r="K3554" s="125"/>
      <c r="L3554" s="121"/>
      <c r="M3554" s="126"/>
      <c r="N3554" s="121"/>
    </row>
    <row r="3555" spans="1:14" x14ac:dyDescent="0.25">
      <c r="A3555" s="121" t="s">
        <v>99</v>
      </c>
      <c r="B3555" s="121" t="s">
        <v>101</v>
      </c>
      <c r="C3555" s="62">
        <f>VLOOKUP(B3555,合并仓明细!$D$2:$F$74,3,0)</f>
        <v>93</v>
      </c>
      <c r="D3555" s="122" t="s">
        <v>393</v>
      </c>
      <c r="E3555" s="123">
        <v>46101</v>
      </c>
      <c r="F3555" s="121" t="s">
        <v>68</v>
      </c>
      <c r="G3555" s="121">
        <v>486.24</v>
      </c>
      <c r="H3555" s="124">
        <v>2.4440052464200002</v>
      </c>
      <c r="I3555" s="46">
        <f>ROUNDUP(H3555/30,0)*VLOOKUP(D3555,'报价表-配送'!$B$2:$I$6,8,0)</f>
        <v>0</v>
      </c>
      <c r="J3555" s="125"/>
      <c r="K3555" s="125"/>
      <c r="L3555" s="121"/>
      <c r="M3555" s="126"/>
      <c r="N3555" s="127">
        <f t="shared" ref="N3555" si="254">SUM(I3555:L3555)</f>
        <v>0</v>
      </c>
    </row>
    <row r="3556" spans="1:14" x14ac:dyDescent="0.25">
      <c r="A3556" s="121" t="s">
        <v>99</v>
      </c>
      <c r="B3556" s="121" t="s">
        <v>101</v>
      </c>
      <c r="C3556" s="62">
        <f>VLOOKUP(B3556,合并仓明细!$D$2:$F$74,3,0)</f>
        <v>93</v>
      </c>
      <c r="D3556" s="122" t="s">
        <v>393</v>
      </c>
      <c r="E3556" s="123">
        <v>46101</v>
      </c>
      <c r="F3556" s="121" t="s">
        <v>67</v>
      </c>
      <c r="G3556" s="121">
        <v>974.27167500000007</v>
      </c>
      <c r="H3556" s="124"/>
      <c r="I3556" s="125"/>
      <c r="J3556" s="125"/>
      <c r="K3556" s="125"/>
      <c r="L3556" s="121"/>
      <c r="M3556" s="126"/>
      <c r="N3556" s="121"/>
    </row>
    <row r="3557" spans="1:14" x14ac:dyDescent="0.25">
      <c r="A3557" s="121" t="s">
        <v>99</v>
      </c>
      <c r="B3557" s="121" t="s">
        <v>101</v>
      </c>
      <c r="C3557" s="62">
        <f>VLOOKUP(B3557,合并仓明细!$D$2:$F$74,3,0)</f>
        <v>93</v>
      </c>
      <c r="D3557" s="122" t="s">
        <v>393</v>
      </c>
      <c r="E3557" s="123">
        <v>46101</v>
      </c>
      <c r="F3557" s="121" t="s">
        <v>66</v>
      </c>
      <c r="G3557" s="121">
        <v>983.49357142000008</v>
      </c>
      <c r="H3557" s="124"/>
      <c r="I3557" s="125"/>
      <c r="J3557" s="125"/>
      <c r="K3557" s="125"/>
      <c r="L3557" s="121"/>
      <c r="M3557" s="126"/>
      <c r="N3557" s="121"/>
    </row>
    <row r="3558" spans="1:14" x14ac:dyDescent="0.25">
      <c r="A3558" s="121" t="s">
        <v>99</v>
      </c>
      <c r="B3558" s="121" t="s">
        <v>101</v>
      </c>
      <c r="C3558" s="62">
        <f>VLOOKUP(B3558,合并仓明细!$D$2:$F$74,3,0)</f>
        <v>93</v>
      </c>
      <c r="D3558" s="122" t="s">
        <v>393</v>
      </c>
      <c r="E3558" s="123">
        <v>46104</v>
      </c>
      <c r="F3558" s="121" t="s">
        <v>68</v>
      </c>
      <c r="G3558" s="121">
        <v>87.96</v>
      </c>
      <c r="H3558" s="124">
        <v>11.990853741799999</v>
      </c>
      <c r="I3558" s="46">
        <f>ROUNDUP(H3558/30,0)*VLOOKUP(D3558,'报价表-配送'!$B$2:$I$6,8,0)</f>
        <v>0</v>
      </c>
      <c r="J3558" s="125"/>
      <c r="K3558" s="125"/>
      <c r="L3558" s="121"/>
      <c r="M3558" s="126"/>
      <c r="N3558" s="127">
        <f t="shared" ref="N3558" si="255">SUM(I3558:L3558)</f>
        <v>0</v>
      </c>
    </row>
    <row r="3559" spans="1:14" x14ac:dyDescent="0.25">
      <c r="A3559" s="121" t="s">
        <v>99</v>
      </c>
      <c r="B3559" s="121" t="s">
        <v>101</v>
      </c>
      <c r="C3559" s="62">
        <f>VLOOKUP(B3559,合并仓明细!$D$2:$F$74,3,0)</f>
        <v>93</v>
      </c>
      <c r="D3559" s="122" t="s">
        <v>393</v>
      </c>
      <c r="E3559" s="123">
        <v>46104</v>
      </c>
      <c r="F3559" s="121" t="s">
        <v>67</v>
      </c>
      <c r="G3559" s="121">
        <v>9672.2201999999997</v>
      </c>
      <c r="H3559" s="124"/>
      <c r="I3559" s="125"/>
      <c r="J3559" s="125"/>
      <c r="K3559" s="125"/>
      <c r="L3559" s="121"/>
      <c r="M3559" s="126"/>
      <c r="N3559" s="121"/>
    </row>
    <row r="3560" spans="1:14" x14ac:dyDescent="0.25">
      <c r="A3560" s="121" t="s">
        <v>99</v>
      </c>
      <c r="B3560" s="121" t="s">
        <v>101</v>
      </c>
      <c r="C3560" s="62">
        <f>VLOOKUP(B3560,合并仓明细!$D$2:$F$74,3,0)</f>
        <v>93</v>
      </c>
      <c r="D3560" s="122" t="s">
        <v>393</v>
      </c>
      <c r="E3560" s="123">
        <v>46104</v>
      </c>
      <c r="F3560" s="121" t="s">
        <v>66</v>
      </c>
      <c r="G3560" s="121">
        <v>2230.6735418000007</v>
      </c>
      <c r="H3560" s="124"/>
      <c r="I3560" s="125"/>
      <c r="J3560" s="125"/>
      <c r="K3560" s="125"/>
      <c r="L3560" s="121"/>
      <c r="M3560" s="126"/>
      <c r="N3560" s="121"/>
    </row>
    <row r="3561" spans="1:14" x14ac:dyDescent="0.25">
      <c r="A3561" s="121" t="s">
        <v>99</v>
      </c>
      <c r="B3561" s="121" t="s">
        <v>101</v>
      </c>
      <c r="C3561" s="62">
        <f>VLOOKUP(B3561,合并仓明细!$D$2:$F$74,3,0)</f>
        <v>93</v>
      </c>
      <c r="D3561" s="122" t="s">
        <v>393</v>
      </c>
      <c r="E3561" s="123">
        <v>46105</v>
      </c>
      <c r="F3561" s="121" t="s">
        <v>68</v>
      </c>
      <c r="G3561" s="121">
        <v>1954.212</v>
      </c>
      <c r="H3561" s="124">
        <v>2.1033886666599999</v>
      </c>
      <c r="I3561" s="46">
        <f>ROUNDUP(H3561/30,0)*VLOOKUP(D3561,'报价表-配送'!$B$2:$I$6,8,0)</f>
        <v>0</v>
      </c>
      <c r="J3561" s="125"/>
      <c r="K3561" s="125"/>
      <c r="L3561" s="121"/>
      <c r="M3561" s="126"/>
      <c r="N3561" s="127">
        <f t="shared" ref="N3561" si="256">SUM(I3561:L3561)</f>
        <v>0</v>
      </c>
    </row>
    <row r="3562" spans="1:14" x14ac:dyDescent="0.25">
      <c r="A3562" s="121" t="s">
        <v>99</v>
      </c>
      <c r="B3562" s="121" t="s">
        <v>101</v>
      </c>
      <c r="C3562" s="62">
        <f>VLOOKUP(B3562,合并仓明细!$D$2:$F$74,3,0)</f>
        <v>93</v>
      </c>
      <c r="D3562" s="122" t="s">
        <v>393</v>
      </c>
      <c r="E3562" s="123">
        <v>46105</v>
      </c>
      <c r="F3562" s="121" t="s">
        <v>66</v>
      </c>
      <c r="G3562" s="121">
        <v>149.17666666</v>
      </c>
      <c r="H3562" s="124"/>
      <c r="I3562" s="125"/>
      <c r="J3562" s="125"/>
      <c r="K3562" s="125"/>
      <c r="L3562" s="121"/>
      <c r="M3562" s="126"/>
      <c r="N3562" s="121"/>
    </row>
    <row r="3563" spans="1:14" x14ac:dyDescent="0.25">
      <c r="A3563" s="121" t="s">
        <v>99</v>
      </c>
      <c r="B3563" s="121" t="s">
        <v>101</v>
      </c>
      <c r="C3563" s="62">
        <f>VLOOKUP(B3563,合并仓明细!$D$2:$F$74,3,0)</f>
        <v>93</v>
      </c>
      <c r="D3563" s="122" t="s">
        <v>393</v>
      </c>
      <c r="E3563" s="123">
        <v>46106</v>
      </c>
      <c r="F3563" s="121" t="s">
        <v>68</v>
      </c>
      <c r="G3563" s="121">
        <v>63.857399999999998</v>
      </c>
      <c r="H3563" s="124">
        <v>9.8212630450000002</v>
      </c>
      <c r="I3563" s="46">
        <f>ROUNDUP(H3563/30,0)*VLOOKUP(D3563,'报价表-配送'!$B$2:$I$6,8,0)</f>
        <v>0</v>
      </c>
      <c r="J3563" s="125"/>
      <c r="K3563" s="125"/>
      <c r="L3563" s="121"/>
      <c r="M3563" s="126"/>
      <c r="N3563" s="127">
        <f t="shared" ref="N3563" si="257">SUM(I3563:L3563)</f>
        <v>0</v>
      </c>
    </row>
    <row r="3564" spans="1:14" x14ac:dyDescent="0.25">
      <c r="A3564" s="121" t="s">
        <v>99</v>
      </c>
      <c r="B3564" s="121" t="s">
        <v>101</v>
      </c>
      <c r="C3564" s="62">
        <f>VLOOKUP(B3564,合并仓明细!$D$2:$F$74,3,0)</f>
        <v>93</v>
      </c>
      <c r="D3564" s="122" t="s">
        <v>393</v>
      </c>
      <c r="E3564" s="123">
        <v>46106</v>
      </c>
      <c r="F3564" s="121" t="s">
        <v>67</v>
      </c>
      <c r="G3564" s="121">
        <v>7644.9550199999994</v>
      </c>
      <c r="H3564" s="124"/>
      <c r="I3564" s="125"/>
      <c r="J3564" s="125"/>
      <c r="K3564" s="125"/>
      <c r="L3564" s="121"/>
      <c r="M3564" s="126"/>
      <c r="N3564" s="121"/>
    </row>
    <row r="3565" spans="1:14" x14ac:dyDescent="0.25">
      <c r="A3565" s="121" t="s">
        <v>99</v>
      </c>
      <c r="B3565" s="121" t="s">
        <v>101</v>
      </c>
      <c r="C3565" s="62">
        <f>VLOOKUP(B3565,合并仓明细!$D$2:$F$74,3,0)</f>
        <v>93</v>
      </c>
      <c r="D3565" s="122" t="s">
        <v>393</v>
      </c>
      <c r="E3565" s="123">
        <v>46106</v>
      </c>
      <c r="F3565" s="121" t="s">
        <v>66</v>
      </c>
      <c r="G3565" s="121">
        <v>2112.4506249999995</v>
      </c>
      <c r="H3565" s="124"/>
      <c r="I3565" s="125"/>
      <c r="J3565" s="125"/>
      <c r="K3565" s="125"/>
      <c r="L3565" s="121"/>
      <c r="M3565" s="126"/>
      <c r="N3565" s="121"/>
    </row>
    <row r="3566" spans="1:14" x14ac:dyDescent="0.25">
      <c r="A3566" s="121" t="s">
        <v>99</v>
      </c>
      <c r="B3566" s="121" t="s">
        <v>101</v>
      </c>
      <c r="C3566" s="62">
        <f>VLOOKUP(B3566,合并仓明细!$D$2:$F$74,3,0)</f>
        <v>93</v>
      </c>
      <c r="D3566" s="122" t="s">
        <v>393</v>
      </c>
      <c r="E3566" s="123">
        <v>46107</v>
      </c>
      <c r="F3566" s="121" t="s">
        <v>67</v>
      </c>
      <c r="G3566" s="121">
        <v>7907.2662</v>
      </c>
      <c r="H3566" s="124">
        <v>11.52321506887</v>
      </c>
      <c r="I3566" s="38">
        <f>IF(H3566&gt;30,QUOTIENT(H3566,30)*VLOOKUP(D3566,'报价表-配送'!$B$2:$I$6,8,0),0)+IF(AND(MOD(H3566,30)&gt;18,MOD(H3566,30)&lt;=30),1,0)*VLOOKUP(D3566,'报价表-配送'!$B$2:$I$6,8,0)</f>
        <v>0</v>
      </c>
      <c r="J3566" s="38">
        <f>IF(AND(MOD(H3566,30)&gt;8,MOD(H3566,30)&lt;=18),1*VLOOKUP(D3566,'报价表-配送'!$B$2:$I$6,7,0),0)</f>
        <v>0</v>
      </c>
      <c r="K3566" s="38">
        <f>IF(AND(MOD(H3566,30)&lt;=8,MOD(H3566,30)&gt;0),1,0)*VLOOKUP(D3566,'报价表-配送'!$B$2:$I$6,6,0)</f>
        <v>0</v>
      </c>
      <c r="L3566" s="121"/>
      <c r="M3566" s="126"/>
      <c r="N3566" s="127">
        <f t="shared" ref="N3566" si="258">SUM(I3566:L3566)</f>
        <v>0</v>
      </c>
    </row>
    <row r="3567" spans="1:14" x14ac:dyDescent="0.25">
      <c r="A3567" s="121" t="s">
        <v>99</v>
      </c>
      <c r="B3567" s="121" t="s">
        <v>101</v>
      </c>
      <c r="C3567" s="62">
        <f>VLOOKUP(B3567,合并仓明细!$D$2:$F$74,3,0)</f>
        <v>93</v>
      </c>
      <c r="D3567" s="122" t="s">
        <v>393</v>
      </c>
      <c r="E3567" s="123">
        <v>46107</v>
      </c>
      <c r="F3567" s="121" t="s">
        <v>66</v>
      </c>
      <c r="G3567" s="121">
        <v>3615.9488688699998</v>
      </c>
      <c r="H3567" s="124"/>
      <c r="I3567" s="125"/>
      <c r="J3567" s="125"/>
      <c r="K3567" s="125"/>
      <c r="L3567" s="121"/>
      <c r="M3567" s="126"/>
      <c r="N3567" s="121"/>
    </row>
    <row r="3568" spans="1:14" x14ac:dyDescent="0.25">
      <c r="A3568" s="121" t="s">
        <v>99</v>
      </c>
      <c r="B3568" s="121" t="s">
        <v>102</v>
      </c>
      <c r="C3568" s="62">
        <f>VLOOKUP(B3568,合并仓明细!$D$2:$F$74,3,0)</f>
        <v>76</v>
      </c>
      <c r="D3568" s="122" t="s">
        <v>393</v>
      </c>
      <c r="E3568" s="123">
        <v>45947</v>
      </c>
      <c r="F3568" s="121" t="s">
        <v>68</v>
      </c>
      <c r="G3568" s="121">
        <v>1546.7797800000001</v>
      </c>
      <c r="H3568" s="124">
        <v>7.9183466839499985</v>
      </c>
      <c r="I3568" s="46">
        <f>ROUNDUP(H3568/30,0)*VLOOKUP(D3568,'报价表-配送'!$B$2:$I$6,8,0)</f>
        <v>0</v>
      </c>
      <c r="J3568" s="125"/>
      <c r="K3568" s="125"/>
      <c r="L3568" s="121"/>
      <c r="M3568" s="126"/>
      <c r="N3568" s="127">
        <f t="shared" ref="N3568" si="259">SUM(I3568:L3568)</f>
        <v>0</v>
      </c>
    </row>
    <row r="3569" spans="1:14" x14ac:dyDescent="0.25">
      <c r="A3569" s="121" t="s">
        <v>99</v>
      </c>
      <c r="B3569" s="121" t="s">
        <v>102</v>
      </c>
      <c r="C3569" s="62">
        <f>VLOOKUP(B3569,合并仓明细!$D$2:$F$74,3,0)</f>
        <v>76</v>
      </c>
      <c r="D3569" s="122" t="s">
        <v>393</v>
      </c>
      <c r="E3569" s="123">
        <v>45947</v>
      </c>
      <c r="F3569" s="121" t="s">
        <v>67</v>
      </c>
      <c r="G3569" s="121">
        <v>3457.0971220000001</v>
      </c>
      <c r="H3569" s="124"/>
      <c r="I3569" s="125"/>
      <c r="J3569" s="125"/>
      <c r="K3569" s="125"/>
      <c r="L3569" s="121"/>
      <c r="M3569" s="126"/>
      <c r="N3569" s="121"/>
    </row>
    <row r="3570" spans="1:14" x14ac:dyDescent="0.25">
      <c r="A3570" s="121" t="s">
        <v>99</v>
      </c>
      <c r="B3570" s="121" t="s">
        <v>102</v>
      </c>
      <c r="C3570" s="62">
        <f>VLOOKUP(B3570,合并仓明细!$D$2:$F$74,3,0)</f>
        <v>76</v>
      </c>
      <c r="D3570" s="122" t="s">
        <v>393</v>
      </c>
      <c r="E3570" s="123">
        <v>45947</v>
      </c>
      <c r="F3570" s="121" t="s">
        <v>66</v>
      </c>
      <c r="G3570" s="121">
        <v>2914.4697819499988</v>
      </c>
      <c r="H3570" s="124"/>
      <c r="I3570" s="125"/>
      <c r="J3570" s="125"/>
      <c r="K3570" s="125"/>
      <c r="L3570" s="121"/>
      <c r="M3570" s="126"/>
      <c r="N3570" s="121"/>
    </row>
    <row r="3571" spans="1:14" x14ac:dyDescent="0.25">
      <c r="A3571" s="121" t="s">
        <v>99</v>
      </c>
      <c r="B3571" s="121" t="s">
        <v>102</v>
      </c>
      <c r="C3571" s="62">
        <f>VLOOKUP(B3571,合并仓明细!$D$2:$F$74,3,0)</f>
        <v>76</v>
      </c>
      <c r="D3571" s="122" t="s">
        <v>393</v>
      </c>
      <c r="E3571" s="123">
        <v>45951</v>
      </c>
      <c r="F3571" s="121" t="s">
        <v>67</v>
      </c>
      <c r="G3571" s="121">
        <v>2849.6329999999998</v>
      </c>
      <c r="H3571" s="124">
        <v>4.1055029999999997</v>
      </c>
      <c r="I3571" s="38">
        <f>IF(H3571&gt;30,QUOTIENT(H3571,30)*VLOOKUP(D3571,'报价表-配送'!$B$2:$I$6,8,0),0)+IF(AND(MOD(H3571,30)&gt;18,MOD(H3571,30)&lt;=30),1,0)*VLOOKUP(D3571,'报价表-配送'!$B$2:$I$6,8,0)</f>
        <v>0</v>
      </c>
      <c r="J3571" s="38">
        <f>IF(AND(MOD(H3571,30)&gt;8,MOD(H3571,30)&lt;=18),1*VLOOKUP(D3571,'报价表-配送'!$B$2:$I$6,7,0),0)</f>
        <v>0</v>
      </c>
      <c r="K3571" s="38">
        <f>IF(AND(MOD(H3571,30)&lt;=8,MOD(H3571,30)&gt;0),1,0)*VLOOKUP(D3571,'报价表-配送'!$B$2:$I$6,6,0)</f>
        <v>0</v>
      </c>
      <c r="L3571" s="121"/>
      <c r="M3571" s="126"/>
      <c r="N3571" s="127">
        <f t="shared" ref="N3571" si="260">SUM(I3571:L3571)</f>
        <v>0</v>
      </c>
    </row>
    <row r="3572" spans="1:14" x14ac:dyDescent="0.25">
      <c r="A3572" s="121" t="s">
        <v>99</v>
      </c>
      <c r="B3572" s="121" t="s">
        <v>102</v>
      </c>
      <c r="C3572" s="62">
        <f>VLOOKUP(B3572,合并仓明细!$D$2:$F$74,3,0)</f>
        <v>76</v>
      </c>
      <c r="D3572" s="122" t="s">
        <v>393</v>
      </c>
      <c r="E3572" s="123">
        <v>45951</v>
      </c>
      <c r="F3572" s="121" t="s">
        <v>66</v>
      </c>
      <c r="G3572" s="121">
        <v>1255.8699999999999</v>
      </c>
      <c r="H3572" s="124"/>
      <c r="I3572" s="125"/>
      <c r="J3572" s="125"/>
      <c r="K3572" s="125"/>
      <c r="L3572" s="121"/>
      <c r="M3572" s="126"/>
      <c r="N3572" s="121"/>
    </row>
    <row r="3573" spans="1:14" x14ac:dyDescent="0.25">
      <c r="A3573" s="121" t="s">
        <v>99</v>
      </c>
      <c r="B3573" s="121" t="s">
        <v>102</v>
      </c>
      <c r="C3573" s="62">
        <f>VLOOKUP(B3573,合并仓明细!$D$2:$F$74,3,0)</f>
        <v>76</v>
      </c>
      <c r="D3573" s="122" t="s">
        <v>393</v>
      </c>
      <c r="E3573" s="123">
        <v>45955</v>
      </c>
      <c r="F3573" s="121" t="s">
        <v>67</v>
      </c>
      <c r="G3573" s="121">
        <v>1429.9473739999999</v>
      </c>
      <c r="H3573" s="124">
        <v>2.0387357073399999</v>
      </c>
      <c r="I3573" s="38">
        <f>IF(H3573&gt;30,QUOTIENT(H3573,30)*VLOOKUP(D3573,'报价表-配送'!$B$2:$I$6,8,0),0)+IF(AND(MOD(H3573,30)&gt;18,MOD(H3573,30)&lt;=30),1,0)*VLOOKUP(D3573,'报价表-配送'!$B$2:$I$6,8,0)</f>
        <v>0</v>
      </c>
      <c r="J3573" s="38">
        <f>IF(AND(MOD(H3573,30)&gt;8,MOD(H3573,30)&lt;=18),1*VLOOKUP(D3573,'报价表-配送'!$B$2:$I$6,7,0),0)</f>
        <v>0</v>
      </c>
      <c r="K3573" s="38">
        <f>IF(AND(MOD(H3573,30)&lt;=8,MOD(H3573,30)&gt;0),1,0)*VLOOKUP(D3573,'报价表-配送'!$B$2:$I$6,6,0)</f>
        <v>0</v>
      </c>
      <c r="L3573" s="121"/>
      <c r="M3573" s="126"/>
      <c r="N3573" s="127">
        <f t="shared" ref="N3573" si="261">SUM(I3573:L3573)</f>
        <v>0</v>
      </c>
    </row>
    <row r="3574" spans="1:14" x14ac:dyDescent="0.25">
      <c r="A3574" s="121" t="s">
        <v>99</v>
      </c>
      <c r="B3574" s="121" t="s">
        <v>102</v>
      </c>
      <c r="C3574" s="62">
        <f>VLOOKUP(B3574,合并仓明细!$D$2:$F$74,3,0)</f>
        <v>76</v>
      </c>
      <c r="D3574" s="122" t="s">
        <v>393</v>
      </c>
      <c r="E3574" s="123">
        <v>45955</v>
      </c>
      <c r="F3574" s="121" t="s">
        <v>66</v>
      </c>
      <c r="G3574" s="121">
        <v>608.78833334000001</v>
      </c>
      <c r="H3574" s="124"/>
      <c r="I3574" s="125"/>
      <c r="J3574" s="125"/>
      <c r="K3574" s="125"/>
      <c r="L3574" s="121"/>
      <c r="M3574" s="126"/>
      <c r="N3574" s="121"/>
    </row>
    <row r="3575" spans="1:14" x14ac:dyDescent="0.25">
      <c r="A3575" s="121" t="s">
        <v>99</v>
      </c>
      <c r="B3575" s="121" t="s">
        <v>102</v>
      </c>
      <c r="C3575" s="62">
        <f>VLOOKUP(B3575,合并仓明细!$D$2:$F$74,3,0)</f>
        <v>76</v>
      </c>
      <c r="D3575" s="122" t="s">
        <v>393</v>
      </c>
      <c r="E3575" s="123">
        <v>45957</v>
      </c>
      <c r="F3575" s="121" t="s">
        <v>66</v>
      </c>
      <c r="G3575" s="121">
        <v>641.43000000000006</v>
      </c>
      <c r="H3575" s="124">
        <v>0.64143000000000006</v>
      </c>
      <c r="I3575" s="125"/>
      <c r="J3575" s="125"/>
      <c r="K3575" s="125"/>
      <c r="L3575" s="37">
        <f>IF(H3575&gt;30,QUOTIENT(H3575,30)*VLOOKUP(D3575,'报价表-配送'!$B$2:$I$6,8,0),0)+IF(AND(MOD(H3575,30)&gt;18,MOD(H3575,30)&lt;=30),1,0)*VLOOKUP(D3575,'报价表-配送'!$B$2:$I$6,8,0)+IF(AND(MOD(H3575,30)&gt;8,MOD(H3575,30)&lt;=18),1*VLOOKUP(D3575,'报价表-配送'!$B$2:$I$6,7,0),0)+IF(AND(MOD(H3575,30)&lt;=8,MOD(H3575,30)&gt;2.5),1,0)*VLOOKUP(D3575,'报价表-配送'!$B$2:$I$6,6,0)+IF(AND(MOD(H3575,30)&lt;=2.5,MOD(H3575,30)&gt;=1.5),1,0)*VLOOKUP(D3575,'报价表-配送'!$B$2:$I$6,5,0)</f>
        <v>0</v>
      </c>
      <c r="M3575" s="39">
        <f>IF(AND(MOD(H3575,30)&lt;1.5,MOD(H3575,30)&gt;=0.5),H3575,0)*VLOOKUP(D3575,'报价表-配送'!$B$2:$I$6,4,0)*1000+IF(AND(MOD(H3575,30)&lt;0.5,MOD(H3575,30)&gt;=0.02),H3575,0)*VLOOKUP(D3575,'报价表-配送'!$B$2:$I$6,3,0)*1000+IF(AND(MOD(H3575,30)&lt;0.02),H3575,0)*VLOOKUP(D3575,'报价表-配送'!$B$2:$I$6,2,0)*1000</f>
        <v>0</v>
      </c>
      <c r="N3575" s="127">
        <f t="shared" ref="N3575:N3576" si="262">SUM(I3575:L3575)</f>
        <v>0</v>
      </c>
    </row>
    <row r="3576" spans="1:14" x14ac:dyDescent="0.25">
      <c r="A3576" s="121" t="s">
        <v>99</v>
      </c>
      <c r="B3576" s="121" t="s">
        <v>102</v>
      </c>
      <c r="C3576" s="62">
        <f>VLOOKUP(B3576,合并仓明细!$D$2:$F$74,3,0)</f>
        <v>76</v>
      </c>
      <c r="D3576" s="122" t="s">
        <v>393</v>
      </c>
      <c r="E3576" s="123">
        <v>45960</v>
      </c>
      <c r="F3576" s="121" t="s">
        <v>68</v>
      </c>
      <c r="G3576" s="121">
        <v>576.21420000000001</v>
      </c>
      <c r="H3576" s="124">
        <v>4.4802622626600002</v>
      </c>
      <c r="I3576" s="46">
        <f>ROUNDUP(H3576/30,0)*VLOOKUP(D3576,'报价表-配送'!$B$2:$I$6,8,0)</f>
        <v>0</v>
      </c>
      <c r="J3576" s="125"/>
      <c r="K3576" s="125"/>
      <c r="L3576" s="121"/>
      <c r="M3576" s="126"/>
      <c r="N3576" s="127">
        <f t="shared" si="262"/>
        <v>0</v>
      </c>
    </row>
    <row r="3577" spans="1:14" x14ac:dyDescent="0.25">
      <c r="A3577" s="121" t="s">
        <v>99</v>
      </c>
      <c r="B3577" s="121" t="s">
        <v>102</v>
      </c>
      <c r="C3577" s="62">
        <f>VLOOKUP(B3577,合并仓明细!$D$2:$F$74,3,0)</f>
        <v>76</v>
      </c>
      <c r="D3577" s="122" t="s">
        <v>393</v>
      </c>
      <c r="E3577" s="123">
        <v>45960</v>
      </c>
      <c r="F3577" s="121" t="s">
        <v>67</v>
      </c>
      <c r="G3577" s="121">
        <v>2941.7563960000002</v>
      </c>
      <c r="H3577" s="124"/>
      <c r="I3577" s="125"/>
      <c r="J3577" s="125"/>
      <c r="K3577" s="125"/>
      <c r="L3577" s="121"/>
      <c r="M3577" s="126"/>
      <c r="N3577" s="121"/>
    </row>
    <row r="3578" spans="1:14" x14ac:dyDescent="0.25">
      <c r="A3578" s="121" t="s">
        <v>99</v>
      </c>
      <c r="B3578" s="121" t="s">
        <v>102</v>
      </c>
      <c r="C3578" s="62">
        <f>VLOOKUP(B3578,合并仓明细!$D$2:$F$74,3,0)</f>
        <v>76</v>
      </c>
      <c r="D3578" s="122" t="s">
        <v>393</v>
      </c>
      <c r="E3578" s="123">
        <v>45960</v>
      </c>
      <c r="F3578" s="121" t="s">
        <v>66</v>
      </c>
      <c r="G3578" s="121">
        <v>962.29166666000003</v>
      </c>
      <c r="H3578" s="124"/>
      <c r="I3578" s="125"/>
      <c r="J3578" s="125"/>
      <c r="K3578" s="125"/>
      <c r="L3578" s="121"/>
      <c r="M3578" s="126"/>
      <c r="N3578" s="121"/>
    </row>
    <row r="3579" spans="1:14" x14ac:dyDescent="0.25">
      <c r="A3579" s="121" t="s">
        <v>99</v>
      </c>
      <c r="B3579" s="121" t="s">
        <v>102</v>
      </c>
      <c r="C3579" s="62">
        <f>VLOOKUP(B3579,合并仓明细!$D$2:$F$74,3,0)</f>
        <v>76</v>
      </c>
      <c r="D3579" s="122" t="s">
        <v>393</v>
      </c>
      <c r="E3579" s="123">
        <v>45968</v>
      </c>
      <c r="F3579" s="121" t="s">
        <v>68</v>
      </c>
      <c r="G3579" s="121">
        <v>457.53323999999998</v>
      </c>
      <c r="H3579" s="124">
        <v>2.5301206025999998</v>
      </c>
      <c r="I3579" s="46">
        <f>ROUNDUP(H3579/30,0)*VLOOKUP(D3579,'报价表-配送'!$B$2:$I$6,8,0)</f>
        <v>0</v>
      </c>
      <c r="J3579" s="125"/>
      <c r="K3579" s="125"/>
      <c r="L3579" s="121"/>
      <c r="M3579" s="126"/>
      <c r="N3579" s="127">
        <f t="shared" ref="N3579" si="263">SUM(I3579:L3579)</f>
        <v>0</v>
      </c>
    </row>
    <row r="3580" spans="1:14" x14ac:dyDescent="0.25">
      <c r="A3580" s="121" t="s">
        <v>99</v>
      </c>
      <c r="B3580" s="121" t="s">
        <v>102</v>
      </c>
      <c r="C3580" s="62">
        <f>VLOOKUP(B3580,合并仓明细!$D$2:$F$74,3,0)</f>
        <v>76</v>
      </c>
      <c r="D3580" s="122" t="s">
        <v>393</v>
      </c>
      <c r="E3580" s="123">
        <v>45968</v>
      </c>
      <c r="F3580" s="121" t="s">
        <v>67</v>
      </c>
      <c r="G3580" s="121">
        <v>1172.810696</v>
      </c>
      <c r="H3580" s="124"/>
      <c r="I3580" s="125"/>
      <c r="J3580" s="125"/>
      <c r="K3580" s="125"/>
      <c r="L3580" s="121"/>
      <c r="M3580" s="126"/>
      <c r="N3580" s="121"/>
    </row>
    <row r="3581" spans="1:14" x14ac:dyDescent="0.25">
      <c r="A3581" s="121" t="s">
        <v>99</v>
      </c>
      <c r="B3581" s="121" t="s">
        <v>102</v>
      </c>
      <c r="C3581" s="62">
        <f>VLOOKUP(B3581,合并仓明细!$D$2:$F$74,3,0)</f>
        <v>76</v>
      </c>
      <c r="D3581" s="122" t="s">
        <v>393</v>
      </c>
      <c r="E3581" s="123">
        <v>45968</v>
      </c>
      <c r="F3581" s="121" t="s">
        <v>66</v>
      </c>
      <c r="G3581" s="121">
        <v>899.77666659999977</v>
      </c>
      <c r="H3581" s="124"/>
      <c r="I3581" s="125"/>
      <c r="J3581" s="125"/>
      <c r="K3581" s="125"/>
      <c r="L3581" s="121"/>
      <c r="M3581" s="126"/>
      <c r="N3581" s="121"/>
    </row>
    <row r="3582" spans="1:14" x14ac:dyDescent="0.25">
      <c r="A3582" s="121" t="s">
        <v>99</v>
      </c>
      <c r="B3582" s="121" t="s">
        <v>102</v>
      </c>
      <c r="C3582" s="62">
        <f>VLOOKUP(B3582,合并仓明细!$D$2:$F$74,3,0)</f>
        <v>76</v>
      </c>
      <c r="D3582" s="122" t="s">
        <v>393</v>
      </c>
      <c r="E3582" s="123">
        <v>45975</v>
      </c>
      <c r="F3582" s="121" t="s">
        <v>68</v>
      </c>
      <c r="G3582" s="121">
        <v>196.99199999999999</v>
      </c>
      <c r="H3582" s="124">
        <v>3.1859513830000004</v>
      </c>
      <c r="I3582" s="46">
        <f>ROUNDUP(H3582/30,0)*VLOOKUP(D3582,'报价表-配送'!$B$2:$I$6,8,0)</f>
        <v>0</v>
      </c>
      <c r="J3582" s="125"/>
      <c r="K3582" s="125"/>
      <c r="L3582" s="121"/>
      <c r="M3582" s="126"/>
      <c r="N3582" s="127">
        <f t="shared" ref="N3582" si="264">SUM(I3582:L3582)</f>
        <v>0</v>
      </c>
    </row>
    <row r="3583" spans="1:14" x14ac:dyDescent="0.25">
      <c r="A3583" s="121" t="s">
        <v>99</v>
      </c>
      <c r="B3583" s="121" t="s">
        <v>102</v>
      </c>
      <c r="C3583" s="62">
        <f>VLOOKUP(B3583,合并仓明细!$D$2:$F$74,3,0)</f>
        <v>76</v>
      </c>
      <c r="D3583" s="122" t="s">
        <v>393</v>
      </c>
      <c r="E3583" s="123">
        <v>45975</v>
      </c>
      <c r="F3583" s="121" t="s">
        <v>67</v>
      </c>
      <c r="G3583" s="121">
        <v>750.97230000000002</v>
      </c>
      <c r="H3583" s="124"/>
      <c r="I3583" s="125"/>
      <c r="J3583" s="125"/>
      <c r="K3583" s="125"/>
      <c r="L3583" s="121"/>
      <c r="M3583" s="126"/>
      <c r="N3583" s="121"/>
    </row>
    <row r="3584" spans="1:14" x14ac:dyDescent="0.25">
      <c r="A3584" s="121" t="s">
        <v>99</v>
      </c>
      <c r="B3584" s="121" t="s">
        <v>102</v>
      </c>
      <c r="C3584" s="62">
        <f>VLOOKUP(B3584,合并仓明细!$D$2:$F$74,3,0)</f>
        <v>76</v>
      </c>
      <c r="D3584" s="122" t="s">
        <v>393</v>
      </c>
      <c r="E3584" s="123">
        <v>45975</v>
      </c>
      <c r="F3584" s="121" t="s">
        <v>66</v>
      </c>
      <c r="G3584" s="121">
        <v>2237.9870830000004</v>
      </c>
      <c r="H3584" s="124"/>
      <c r="I3584" s="125"/>
      <c r="J3584" s="125"/>
      <c r="K3584" s="125"/>
      <c r="L3584" s="121"/>
      <c r="M3584" s="126"/>
      <c r="N3584" s="121"/>
    </row>
    <row r="3585" spans="1:14" x14ac:dyDescent="0.25">
      <c r="A3585" s="121" t="s">
        <v>99</v>
      </c>
      <c r="B3585" s="121" t="s">
        <v>102</v>
      </c>
      <c r="C3585" s="62">
        <f>VLOOKUP(B3585,合并仓明细!$D$2:$F$74,3,0)</f>
        <v>76</v>
      </c>
      <c r="D3585" s="122" t="s">
        <v>393</v>
      </c>
      <c r="E3585" s="123">
        <v>45980</v>
      </c>
      <c r="F3585" s="121" t="s">
        <v>68</v>
      </c>
      <c r="G3585" s="121">
        <v>426.14200800000003</v>
      </c>
      <c r="H3585" s="124">
        <v>5.9351740933400015</v>
      </c>
      <c r="I3585" s="46">
        <f>ROUNDUP(H3585/30,0)*VLOOKUP(D3585,'报价表-配送'!$B$2:$I$6,8,0)</f>
        <v>0</v>
      </c>
      <c r="J3585" s="125"/>
      <c r="K3585" s="125"/>
      <c r="L3585" s="121"/>
      <c r="M3585" s="126"/>
      <c r="N3585" s="127">
        <f t="shared" ref="N3585" si="265">SUM(I3585:L3585)</f>
        <v>0</v>
      </c>
    </row>
    <row r="3586" spans="1:14" x14ac:dyDescent="0.25">
      <c r="A3586" s="121" t="s">
        <v>99</v>
      </c>
      <c r="B3586" s="121" t="s">
        <v>102</v>
      </c>
      <c r="C3586" s="62">
        <f>VLOOKUP(B3586,合并仓明细!$D$2:$F$74,3,0)</f>
        <v>76</v>
      </c>
      <c r="D3586" s="122" t="s">
        <v>393</v>
      </c>
      <c r="E3586" s="123">
        <v>45980</v>
      </c>
      <c r="F3586" s="121" t="s">
        <v>67</v>
      </c>
      <c r="G3586" s="121">
        <v>3122.7608044000003</v>
      </c>
      <c r="H3586" s="124"/>
      <c r="I3586" s="125"/>
      <c r="J3586" s="125"/>
      <c r="K3586" s="125"/>
      <c r="L3586" s="121"/>
      <c r="M3586" s="126"/>
      <c r="N3586" s="121"/>
    </row>
    <row r="3587" spans="1:14" x14ac:dyDescent="0.25">
      <c r="A3587" s="121" t="s">
        <v>99</v>
      </c>
      <c r="B3587" s="121" t="s">
        <v>102</v>
      </c>
      <c r="C3587" s="62">
        <f>VLOOKUP(B3587,合并仓明细!$D$2:$F$74,3,0)</f>
        <v>76</v>
      </c>
      <c r="D3587" s="122" t="s">
        <v>393</v>
      </c>
      <c r="E3587" s="123">
        <v>45980</v>
      </c>
      <c r="F3587" s="121" t="s">
        <v>66</v>
      </c>
      <c r="G3587" s="121">
        <v>2386.2712809400005</v>
      </c>
      <c r="H3587" s="124"/>
      <c r="I3587" s="125"/>
      <c r="J3587" s="125"/>
      <c r="K3587" s="125"/>
      <c r="L3587" s="121"/>
      <c r="M3587" s="126"/>
      <c r="N3587" s="121"/>
    </row>
    <row r="3588" spans="1:14" x14ac:dyDescent="0.25">
      <c r="A3588" s="121" t="s">
        <v>99</v>
      </c>
      <c r="B3588" s="121" t="s">
        <v>102</v>
      </c>
      <c r="C3588" s="62">
        <f>VLOOKUP(B3588,合并仓明细!$D$2:$F$74,3,0)</f>
        <v>76</v>
      </c>
      <c r="D3588" s="122" t="s">
        <v>393</v>
      </c>
      <c r="E3588" s="123">
        <v>45982</v>
      </c>
      <c r="F3588" s="121" t="s">
        <v>68</v>
      </c>
      <c r="G3588" s="121">
        <v>87.96</v>
      </c>
      <c r="H3588" s="124">
        <v>3.1629740799900001</v>
      </c>
      <c r="I3588" s="46">
        <f>ROUNDUP(H3588/30,0)*VLOOKUP(D3588,'报价表-配送'!$B$2:$I$6,8,0)</f>
        <v>0</v>
      </c>
      <c r="J3588" s="125"/>
      <c r="K3588" s="125"/>
      <c r="L3588" s="121"/>
      <c r="M3588" s="126"/>
      <c r="N3588" s="127">
        <f t="shared" ref="N3588" si="266">SUM(I3588:L3588)</f>
        <v>0</v>
      </c>
    </row>
    <row r="3589" spans="1:14" x14ac:dyDescent="0.25">
      <c r="A3589" s="121" t="s">
        <v>99</v>
      </c>
      <c r="B3589" s="121" t="s">
        <v>102</v>
      </c>
      <c r="C3589" s="62">
        <f>VLOOKUP(B3589,合并仓明细!$D$2:$F$74,3,0)</f>
        <v>76</v>
      </c>
      <c r="D3589" s="122" t="s">
        <v>393</v>
      </c>
      <c r="E3589" s="123">
        <v>45982</v>
      </c>
      <c r="F3589" s="121" t="s">
        <v>67</v>
      </c>
      <c r="G3589" s="121">
        <v>2400.1990800000003</v>
      </c>
      <c r="H3589" s="124"/>
      <c r="I3589" s="125"/>
      <c r="J3589" s="125"/>
      <c r="K3589" s="125"/>
      <c r="L3589" s="121"/>
      <c r="M3589" s="126"/>
      <c r="N3589" s="121"/>
    </row>
    <row r="3590" spans="1:14" x14ac:dyDescent="0.25">
      <c r="A3590" s="121" t="s">
        <v>99</v>
      </c>
      <c r="B3590" s="121" t="s">
        <v>102</v>
      </c>
      <c r="C3590" s="62">
        <f>VLOOKUP(B3590,合并仓明细!$D$2:$F$74,3,0)</f>
        <v>76</v>
      </c>
      <c r="D3590" s="122" t="s">
        <v>393</v>
      </c>
      <c r="E3590" s="123">
        <v>45982</v>
      </c>
      <c r="F3590" s="121" t="s">
        <v>66</v>
      </c>
      <c r="G3590" s="121">
        <v>674.81499998999993</v>
      </c>
      <c r="H3590" s="124"/>
      <c r="I3590" s="125"/>
      <c r="J3590" s="125"/>
      <c r="K3590" s="125"/>
      <c r="L3590" s="121"/>
      <c r="M3590" s="126"/>
      <c r="N3590" s="121"/>
    </row>
    <row r="3591" spans="1:14" x14ac:dyDescent="0.25">
      <c r="A3591" s="121" t="s">
        <v>99</v>
      </c>
      <c r="B3591" s="121" t="s">
        <v>102</v>
      </c>
      <c r="C3591" s="62">
        <f>VLOOKUP(B3591,合并仓明细!$D$2:$F$74,3,0)</f>
        <v>76</v>
      </c>
      <c r="D3591" s="122" t="s">
        <v>393</v>
      </c>
      <c r="E3591" s="123">
        <v>45988</v>
      </c>
      <c r="F3591" s="121" t="s">
        <v>67</v>
      </c>
      <c r="G3591" s="121">
        <v>400.48559999999998</v>
      </c>
      <c r="H3591" s="124">
        <v>9.7318106000000011</v>
      </c>
      <c r="I3591" s="38">
        <f>IF(H3591&gt;30,QUOTIENT(H3591,30)*VLOOKUP(D3591,'报价表-配送'!$B$2:$I$6,8,0),0)+IF(AND(MOD(H3591,30)&gt;18,MOD(H3591,30)&lt;=30),1,0)*VLOOKUP(D3591,'报价表-配送'!$B$2:$I$6,8,0)</f>
        <v>0</v>
      </c>
      <c r="J3591" s="38">
        <f>IF(AND(MOD(H3591,30)&gt;8,MOD(H3591,30)&lt;=18),1*VLOOKUP(D3591,'报价表-配送'!$B$2:$I$6,7,0),0)</f>
        <v>0</v>
      </c>
      <c r="K3591" s="38">
        <f>IF(AND(MOD(H3591,30)&lt;=8,MOD(H3591,30)&gt;0),1,0)*VLOOKUP(D3591,'报价表-配送'!$B$2:$I$6,6,0)</f>
        <v>0</v>
      </c>
      <c r="L3591" s="121"/>
      <c r="M3591" s="126"/>
      <c r="N3591" s="127">
        <f t="shared" ref="N3591" si="267">SUM(I3591:L3591)</f>
        <v>0</v>
      </c>
    </row>
    <row r="3592" spans="1:14" x14ac:dyDescent="0.25">
      <c r="A3592" s="121" t="s">
        <v>99</v>
      </c>
      <c r="B3592" s="121" t="s">
        <v>102</v>
      </c>
      <c r="C3592" s="62">
        <f>VLOOKUP(B3592,合并仓明细!$D$2:$F$74,3,0)</f>
        <v>76</v>
      </c>
      <c r="D3592" s="122" t="s">
        <v>393</v>
      </c>
      <c r="E3592" s="123">
        <v>45988</v>
      </c>
      <c r="F3592" s="121" t="s">
        <v>66</v>
      </c>
      <c r="G3592" s="121">
        <v>9331.3250000000007</v>
      </c>
      <c r="H3592" s="124"/>
      <c r="I3592" s="125"/>
      <c r="J3592" s="125"/>
      <c r="K3592" s="125"/>
      <c r="L3592" s="121"/>
      <c r="M3592" s="126"/>
      <c r="N3592" s="121"/>
    </row>
    <row r="3593" spans="1:14" x14ac:dyDescent="0.25">
      <c r="A3593" s="121" t="s">
        <v>99</v>
      </c>
      <c r="B3593" s="121" t="s">
        <v>102</v>
      </c>
      <c r="C3593" s="62">
        <f>VLOOKUP(B3593,合并仓明细!$D$2:$F$74,3,0)</f>
        <v>76</v>
      </c>
      <c r="D3593" s="122" t="s">
        <v>393</v>
      </c>
      <c r="E3593" s="123">
        <v>45996</v>
      </c>
      <c r="F3593" s="121" t="s">
        <v>68</v>
      </c>
      <c r="G3593" s="121">
        <v>330.26</v>
      </c>
      <c r="H3593" s="124">
        <v>2.4770300000000001</v>
      </c>
      <c r="I3593" s="46">
        <f>ROUNDUP(H3593/30,0)*VLOOKUP(D3593,'报价表-配送'!$B$2:$I$6,8,0)</f>
        <v>0</v>
      </c>
      <c r="J3593" s="125"/>
      <c r="K3593" s="125"/>
      <c r="L3593" s="121"/>
      <c r="M3593" s="126"/>
      <c r="N3593" s="127">
        <f t="shared" ref="N3593" si="268">SUM(I3593:L3593)</f>
        <v>0</v>
      </c>
    </row>
    <row r="3594" spans="1:14" x14ac:dyDescent="0.25">
      <c r="A3594" s="121" t="s">
        <v>99</v>
      </c>
      <c r="B3594" s="121" t="s">
        <v>102</v>
      </c>
      <c r="C3594" s="62">
        <f>VLOOKUP(B3594,合并仓明细!$D$2:$F$74,3,0)</f>
        <v>76</v>
      </c>
      <c r="D3594" s="122" t="s">
        <v>393</v>
      </c>
      <c r="E3594" s="123">
        <v>45996</v>
      </c>
      <c r="F3594" s="121" t="s">
        <v>67</v>
      </c>
      <c r="G3594" s="121">
        <v>502.2</v>
      </c>
      <c r="H3594" s="124"/>
      <c r="I3594" s="125"/>
      <c r="J3594" s="125"/>
      <c r="K3594" s="125"/>
      <c r="L3594" s="121"/>
      <c r="M3594" s="126"/>
      <c r="N3594" s="121"/>
    </row>
    <row r="3595" spans="1:14" x14ac:dyDescent="0.25">
      <c r="A3595" s="121" t="s">
        <v>99</v>
      </c>
      <c r="B3595" s="121" t="s">
        <v>102</v>
      </c>
      <c r="C3595" s="62">
        <f>VLOOKUP(B3595,合并仓明细!$D$2:$F$74,3,0)</f>
        <v>76</v>
      </c>
      <c r="D3595" s="122" t="s">
        <v>393</v>
      </c>
      <c r="E3595" s="123">
        <v>45996</v>
      </c>
      <c r="F3595" s="121" t="s">
        <v>66</v>
      </c>
      <c r="G3595" s="121">
        <v>1644.5700000000002</v>
      </c>
      <c r="H3595" s="124"/>
      <c r="I3595" s="125"/>
      <c r="J3595" s="125"/>
      <c r="K3595" s="125"/>
      <c r="L3595" s="121"/>
      <c r="M3595" s="126"/>
      <c r="N3595" s="121"/>
    </row>
    <row r="3596" spans="1:14" x14ac:dyDescent="0.25">
      <c r="A3596" s="121" t="s">
        <v>99</v>
      </c>
      <c r="B3596" s="121" t="s">
        <v>102</v>
      </c>
      <c r="C3596" s="62">
        <f>VLOOKUP(B3596,合并仓明细!$D$2:$F$74,3,0)</f>
        <v>76</v>
      </c>
      <c r="D3596" s="122" t="s">
        <v>393</v>
      </c>
      <c r="E3596" s="123">
        <v>45999</v>
      </c>
      <c r="F3596" s="121" t="s">
        <v>68</v>
      </c>
      <c r="G3596" s="121">
        <v>63.86</v>
      </c>
      <c r="H3596" s="124">
        <v>9.8099900000000009</v>
      </c>
      <c r="I3596" s="46">
        <f>ROUNDUP(H3596/30,0)*VLOOKUP(D3596,'报价表-配送'!$B$2:$I$6,8,0)</f>
        <v>0</v>
      </c>
      <c r="J3596" s="125"/>
      <c r="K3596" s="125"/>
      <c r="L3596" s="121"/>
      <c r="M3596" s="126"/>
      <c r="N3596" s="127">
        <f t="shared" ref="N3596" si="269">SUM(I3596:L3596)</f>
        <v>0</v>
      </c>
    </row>
    <row r="3597" spans="1:14" x14ac:dyDescent="0.25">
      <c r="A3597" s="121" t="s">
        <v>99</v>
      </c>
      <c r="B3597" s="121" t="s">
        <v>102</v>
      </c>
      <c r="C3597" s="62">
        <f>VLOOKUP(B3597,合并仓明细!$D$2:$F$74,3,0)</f>
        <v>76</v>
      </c>
      <c r="D3597" s="122" t="s">
        <v>393</v>
      </c>
      <c r="E3597" s="123">
        <v>45999</v>
      </c>
      <c r="F3597" s="121" t="s">
        <v>67</v>
      </c>
      <c r="G3597" s="121">
        <v>9634.11</v>
      </c>
      <c r="H3597" s="124"/>
      <c r="I3597" s="125"/>
      <c r="J3597" s="125"/>
      <c r="K3597" s="125"/>
      <c r="L3597" s="121"/>
      <c r="M3597" s="126"/>
      <c r="N3597" s="121"/>
    </row>
    <row r="3598" spans="1:14" x14ac:dyDescent="0.25">
      <c r="A3598" s="121" t="s">
        <v>99</v>
      </c>
      <c r="B3598" s="121" t="s">
        <v>102</v>
      </c>
      <c r="C3598" s="62">
        <f>VLOOKUP(B3598,合并仓明细!$D$2:$F$74,3,0)</f>
        <v>76</v>
      </c>
      <c r="D3598" s="122" t="s">
        <v>393</v>
      </c>
      <c r="E3598" s="123">
        <v>45999</v>
      </c>
      <c r="F3598" s="121" t="s">
        <v>66</v>
      </c>
      <c r="G3598" s="121">
        <v>112.02</v>
      </c>
      <c r="H3598" s="124"/>
      <c r="I3598" s="125"/>
      <c r="J3598" s="125"/>
      <c r="K3598" s="125"/>
      <c r="L3598" s="121"/>
      <c r="M3598" s="126"/>
      <c r="N3598" s="121"/>
    </row>
    <row r="3599" spans="1:14" x14ac:dyDescent="0.25">
      <c r="A3599" s="121" t="s">
        <v>99</v>
      </c>
      <c r="B3599" s="121" t="s">
        <v>102</v>
      </c>
      <c r="C3599" s="62">
        <f>VLOOKUP(B3599,合并仓明细!$D$2:$F$74,3,0)</f>
        <v>76</v>
      </c>
      <c r="D3599" s="122" t="s">
        <v>393</v>
      </c>
      <c r="E3599" s="123">
        <v>46003</v>
      </c>
      <c r="F3599" s="121" t="s">
        <v>68</v>
      </c>
      <c r="G3599" s="121">
        <v>104.87</v>
      </c>
      <c r="H3599" s="124">
        <v>1.32839</v>
      </c>
      <c r="I3599" s="46">
        <f>ROUNDUP(H3599/30,0)*VLOOKUP(D3599,'报价表-配送'!$B$2:$I$6,8,0)</f>
        <v>0</v>
      </c>
      <c r="J3599" s="125"/>
      <c r="K3599" s="125"/>
      <c r="L3599" s="121"/>
      <c r="M3599" s="126"/>
      <c r="N3599" s="127">
        <f t="shared" ref="N3599" si="270">SUM(I3599:L3599)</f>
        <v>0</v>
      </c>
    </row>
    <row r="3600" spans="1:14" x14ac:dyDescent="0.25">
      <c r="A3600" s="121" t="s">
        <v>99</v>
      </c>
      <c r="B3600" s="121" t="s">
        <v>102</v>
      </c>
      <c r="C3600" s="62">
        <f>VLOOKUP(B3600,合并仓明细!$D$2:$F$74,3,0)</f>
        <v>76</v>
      </c>
      <c r="D3600" s="122" t="s">
        <v>393</v>
      </c>
      <c r="E3600" s="123">
        <v>46003</v>
      </c>
      <c r="F3600" s="121" t="s">
        <v>67</v>
      </c>
      <c r="G3600" s="121">
        <v>384.87</v>
      </c>
      <c r="H3600" s="124"/>
      <c r="I3600" s="125"/>
      <c r="J3600" s="125"/>
      <c r="K3600" s="125"/>
      <c r="L3600" s="121"/>
      <c r="M3600" s="126"/>
      <c r="N3600" s="121"/>
    </row>
    <row r="3601" spans="1:14" x14ac:dyDescent="0.25">
      <c r="A3601" s="121" t="s">
        <v>99</v>
      </c>
      <c r="B3601" s="121" t="s">
        <v>102</v>
      </c>
      <c r="C3601" s="62">
        <f>VLOOKUP(B3601,合并仓明细!$D$2:$F$74,3,0)</f>
        <v>76</v>
      </c>
      <c r="D3601" s="122" t="s">
        <v>393</v>
      </c>
      <c r="E3601" s="123">
        <v>46003</v>
      </c>
      <c r="F3601" s="121" t="s">
        <v>66</v>
      </c>
      <c r="G3601" s="121">
        <v>838.65</v>
      </c>
      <c r="H3601" s="124"/>
      <c r="I3601" s="125"/>
      <c r="J3601" s="125"/>
      <c r="K3601" s="125"/>
      <c r="L3601" s="121"/>
      <c r="M3601" s="126"/>
      <c r="N3601" s="121"/>
    </row>
    <row r="3602" spans="1:14" x14ac:dyDescent="0.25">
      <c r="A3602" s="121" t="s">
        <v>99</v>
      </c>
      <c r="B3602" s="121" t="s">
        <v>102</v>
      </c>
      <c r="C3602" s="62">
        <f>VLOOKUP(B3602,合并仓明细!$D$2:$F$74,3,0)</f>
        <v>76</v>
      </c>
      <c r="D3602" s="122" t="s">
        <v>393</v>
      </c>
      <c r="E3602" s="123">
        <v>46009</v>
      </c>
      <c r="F3602" s="121" t="s">
        <v>68</v>
      </c>
      <c r="G3602" s="121">
        <v>259.96111999999999</v>
      </c>
      <c r="H3602" s="124">
        <v>2.3522911199999998</v>
      </c>
      <c r="I3602" s="46">
        <f>ROUNDUP(H3602/30,0)*VLOOKUP(D3602,'报价表-配送'!$B$2:$I$6,8,0)</f>
        <v>0</v>
      </c>
      <c r="J3602" s="125"/>
      <c r="K3602" s="125"/>
      <c r="L3602" s="121"/>
      <c r="M3602" s="126"/>
      <c r="N3602" s="127">
        <f t="shared" ref="N3602" si="271">SUM(I3602:L3602)</f>
        <v>0</v>
      </c>
    </row>
    <row r="3603" spans="1:14" x14ac:dyDescent="0.25">
      <c r="A3603" s="121" t="s">
        <v>99</v>
      </c>
      <c r="B3603" s="121" t="s">
        <v>102</v>
      </c>
      <c r="C3603" s="62">
        <f>VLOOKUP(B3603,合并仓明细!$D$2:$F$74,3,0)</f>
        <v>76</v>
      </c>
      <c r="D3603" s="122" t="s">
        <v>393</v>
      </c>
      <c r="E3603" s="123">
        <v>46009</v>
      </c>
      <c r="F3603" s="121" t="s">
        <v>67</v>
      </c>
      <c r="G3603" s="121">
        <v>1331.85</v>
      </c>
      <c r="H3603" s="124"/>
      <c r="I3603" s="125"/>
      <c r="J3603" s="125"/>
      <c r="K3603" s="125"/>
      <c r="L3603" s="121"/>
      <c r="M3603" s="126"/>
      <c r="N3603" s="121"/>
    </row>
    <row r="3604" spans="1:14" x14ac:dyDescent="0.25">
      <c r="A3604" s="121" t="s">
        <v>99</v>
      </c>
      <c r="B3604" s="121" t="s">
        <v>102</v>
      </c>
      <c r="C3604" s="62">
        <f>VLOOKUP(B3604,合并仓明细!$D$2:$F$74,3,0)</f>
        <v>76</v>
      </c>
      <c r="D3604" s="122" t="s">
        <v>393</v>
      </c>
      <c r="E3604" s="123">
        <v>46009</v>
      </c>
      <c r="F3604" s="121" t="s">
        <v>66</v>
      </c>
      <c r="G3604" s="121">
        <v>760.48</v>
      </c>
      <c r="H3604" s="124"/>
      <c r="I3604" s="125"/>
      <c r="J3604" s="125"/>
      <c r="K3604" s="125"/>
      <c r="L3604" s="121"/>
      <c r="M3604" s="126"/>
      <c r="N3604" s="121"/>
    </row>
    <row r="3605" spans="1:14" x14ac:dyDescent="0.25">
      <c r="A3605" s="121" t="s">
        <v>99</v>
      </c>
      <c r="B3605" s="121" t="s">
        <v>102</v>
      </c>
      <c r="C3605" s="62">
        <f>VLOOKUP(B3605,合并仓明细!$D$2:$F$74,3,0)</f>
        <v>76</v>
      </c>
      <c r="D3605" s="122" t="s">
        <v>393</v>
      </c>
      <c r="E3605" s="123">
        <v>46017</v>
      </c>
      <c r="F3605" s="121" t="s">
        <v>68</v>
      </c>
      <c r="G3605" s="121">
        <v>2941.6781850000002</v>
      </c>
      <c r="H3605" s="124">
        <v>9.9227261850000019</v>
      </c>
      <c r="I3605" s="46">
        <f>ROUNDUP(H3605/30,0)*VLOOKUP(D3605,'报价表-配送'!$B$2:$I$6,8,0)</f>
        <v>0</v>
      </c>
      <c r="J3605" s="125"/>
      <c r="K3605" s="125"/>
      <c r="L3605" s="121"/>
      <c r="M3605" s="126"/>
      <c r="N3605" s="127">
        <f t="shared" ref="N3605" si="272">SUM(I3605:L3605)</f>
        <v>0</v>
      </c>
    </row>
    <row r="3606" spans="1:14" x14ac:dyDescent="0.25">
      <c r="A3606" s="121" t="s">
        <v>99</v>
      </c>
      <c r="B3606" s="121" t="s">
        <v>102</v>
      </c>
      <c r="C3606" s="62">
        <f>VLOOKUP(B3606,合并仓明细!$D$2:$F$74,3,0)</f>
        <v>76</v>
      </c>
      <c r="D3606" s="122" t="s">
        <v>393</v>
      </c>
      <c r="E3606" s="123">
        <v>46017</v>
      </c>
      <c r="F3606" s="121" t="s">
        <v>67</v>
      </c>
      <c r="G3606" s="121">
        <v>5567.1880000000001</v>
      </c>
      <c r="H3606" s="124"/>
      <c r="I3606" s="125"/>
      <c r="J3606" s="125"/>
      <c r="K3606" s="125"/>
      <c r="L3606" s="121"/>
      <c r="M3606" s="126"/>
      <c r="N3606" s="121"/>
    </row>
    <row r="3607" spans="1:14" x14ac:dyDescent="0.25">
      <c r="A3607" s="121" t="s">
        <v>99</v>
      </c>
      <c r="B3607" s="121" t="s">
        <v>102</v>
      </c>
      <c r="C3607" s="62">
        <f>VLOOKUP(B3607,合并仓明细!$D$2:$F$74,3,0)</f>
        <v>76</v>
      </c>
      <c r="D3607" s="122" t="s">
        <v>393</v>
      </c>
      <c r="E3607" s="123">
        <v>46017</v>
      </c>
      <c r="F3607" s="121" t="s">
        <v>66</v>
      </c>
      <c r="G3607" s="121">
        <v>1413.8600000000001</v>
      </c>
      <c r="H3607" s="124"/>
      <c r="I3607" s="125"/>
      <c r="J3607" s="125"/>
      <c r="K3607" s="125"/>
      <c r="L3607" s="121"/>
      <c r="M3607" s="126"/>
      <c r="N3607" s="121"/>
    </row>
    <row r="3608" spans="1:14" x14ac:dyDescent="0.25">
      <c r="A3608" s="121" t="s">
        <v>99</v>
      </c>
      <c r="B3608" s="121" t="s">
        <v>102</v>
      </c>
      <c r="C3608" s="62">
        <f>VLOOKUP(B3608,合并仓明细!$D$2:$F$74,3,0)</f>
        <v>76</v>
      </c>
      <c r="D3608" s="122" t="s">
        <v>393</v>
      </c>
      <c r="E3608" s="123">
        <v>46035</v>
      </c>
      <c r="F3608" s="121" t="s">
        <v>67</v>
      </c>
      <c r="G3608" s="121">
        <v>769.14852599999995</v>
      </c>
      <c r="H3608" s="124">
        <v>1.8008232227500001</v>
      </c>
      <c r="I3608" s="38">
        <f>IF(H3608&gt;30,QUOTIENT(H3608,30)*VLOOKUP(D3608,'报价表-配送'!$B$2:$I$6,8,0),0)+IF(AND(MOD(H3608,30)&gt;18,MOD(H3608,30)&lt;=30),1,0)*VLOOKUP(D3608,'报价表-配送'!$B$2:$I$6,8,0)</f>
        <v>0</v>
      </c>
      <c r="J3608" s="38">
        <f>IF(AND(MOD(H3608,30)&gt;8,MOD(H3608,30)&lt;=18),1*VLOOKUP(D3608,'报价表-配送'!$B$2:$I$6,7,0),0)</f>
        <v>0</v>
      </c>
      <c r="K3608" s="38">
        <f>IF(AND(MOD(H3608,30)&lt;=8,MOD(H3608,30)&gt;0),1,0)*VLOOKUP(D3608,'报价表-配送'!$B$2:$I$6,6,0)</f>
        <v>0</v>
      </c>
      <c r="L3608" s="121"/>
      <c r="M3608" s="126"/>
      <c r="N3608" s="127">
        <f t="shared" ref="N3608" si="273">SUM(I3608:L3608)</f>
        <v>0</v>
      </c>
    </row>
    <row r="3609" spans="1:14" x14ac:dyDescent="0.25">
      <c r="A3609" s="121" t="s">
        <v>99</v>
      </c>
      <c r="B3609" s="121" t="s">
        <v>102</v>
      </c>
      <c r="C3609" s="62">
        <f>VLOOKUP(B3609,合并仓明细!$D$2:$F$74,3,0)</f>
        <v>76</v>
      </c>
      <c r="D3609" s="122" t="s">
        <v>393</v>
      </c>
      <c r="E3609" s="123">
        <v>46035</v>
      </c>
      <c r="F3609" s="121" t="s">
        <v>66</v>
      </c>
      <c r="G3609" s="121">
        <v>1031.6746967500001</v>
      </c>
      <c r="H3609" s="124"/>
      <c r="I3609" s="125"/>
      <c r="J3609" s="125"/>
      <c r="K3609" s="125"/>
      <c r="L3609" s="121"/>
      <c r="M3609" s="126"/>
      <c r="N3609" s="121"/>
    </row>
    <row r="3610" spans="1:14" x14ac:dyDescent="0.25">
      <c r="A3610" s="121" t="s">
        <v>99</v>
      </c>
      <c r="B3610" s="121" t="s">
        <v>102</v>
      </c>
      <c r="C3610" s="62">
        <f>VLOOKUP(B3610,合并仓明细!$D$2:$F$74,3,0)</f>
        <v>76</v>
      </c>
      <c r="D3610" s="122" t="s">
        <v>393</v>
      </c>
      <c r="E3610" s="123">
        <v>46044</v>
      </c>
      <c r="F3610" s="121" t="s">
        <v>67</v>
      </c>
      <c r="G3610" s="121">
        <v>405.35683199999994</v>
      </c>
      <c r="H3610" s="124">
        <v>0.4449344986699999</v>
      </c>
      <c r="I3610" s="38">
        <f>IF(H3610&gt;30,QUOTIENT(H3610,30)*VLOOKUP(D3610,'报价表-配送'!$B$2:$I$6,8,0),0)+IF(AND(MOD(H3610,30)&gt;18,MOD(H3610,30)&lt;=30),1,0)*VLOOKUP(D3610,'报价表-配送'!$B$2:$I$6,8,0)</f>
        <v>0</v>
      </c>
      <c r="J3610" s="38">
        <f>IF(AND(MOD(H3610,30)&gt;8,MOD(H3610,30)&lt;=18),1*VLOOKUP(D3610,'报价表-配送'!$B$2:$I$6,7,0),0)</f>
        <v>0</v>
      </c>
      <c r="K3610" s="38">
        <f>IF(AND(MOD(H3610,30)&lt;=8,MOD(H3610,30)&gt;0),1,0)*VLOOKUP(D3610,'报价表-配送'!$B$2:$I$6,6,0)</f>
        <v>0</v>
      </c>
      <c r="L3610" s="121"/>
      <c r="M3610" s="126"/>
      <c r="N3610" s="127">
        <f t="shared" ref="N3610" si="274">SUM(I3610:L3610)</f>
        <v>0</v>
      </c>
    </row>
    <row r="3611" spans="1:14" x14ac:dyDescent="0.25">
      <c r="A3611" s="121" t="s">
        <v>99</v>
      </c>
      <c r="B3611" s="121" t="s">
        <v>102</v>
      </c>
      <c r="C3611" s="62">
        <f>VLOOKUP(B3611,合并仓明细!$D$2:$F$74,3,0)</f>
        <v>76</v>
      </c>
      <c r="D3611" s="122" t="s">
        <v>393</v>
      </c>
      <c r="E3611" s="123">
        <v>46044</v>
      </c>
      <c r="F3611" s="121" t="s">
        <v>66</v>
      </c>
      <c r="G3611" s="121">
        <v>39.577666669999999</v>
      </c>
      <c r="H3611" s="124"/>
      <c r="I3611" s="125"/>
      <c r="J3611" s="125"/>
      <c r="K3611" s="125"/>
      <c r="L3611" s="121"/>
      <c r="M3611" s="126"/>
      <c r="N3611" s="121"/>
    </row>
    <row r="3612" spans="1:14" x14ac:dyDescent="0.25">
      <c r="A3612" s="121" t="s">
        <v>99</v>
      </c>
      <c r="B3612" s="121" t="s">
        <v>102</v>
      </c>
      <c r="C3612" s="62">
        <f>VLOOKUP(B3612,合并仓明细!$D$2:$F$74,3,0)</f>
        <v>76</v>
      </c>
      <c r="D3612" s="122" t="s">
        <v>393</v>
      </c>
      <c r="E3612" s="123">
        <v>46051</v>
      </c>
      <c r="F3612" s="121" t="s">
        <v>68</v>
      </c>
      <c r="G3612" s="121">
        <v>102.996</v>
      </c>
      <c r="H3612" s="124">
        <v>1.9117220326700002</v>
      </c>
      <c r="I3612" s="46">
        <f>ROUNDUP(H3612/30,0)*VLOOKUP(D3612,'报价表-配送'!$B$2:$I$6,8,0)</f>
        <v>0</v>
      </c>
      <c r="J3612" s="125"/>
      <c r="K3612" s="125"/>
      <c r="L3612" s="121"/>
      <c r="M3612" s="126"/>
      <c r="N3612" s="127">
        <f t="shared" ref="N3612" si="275">SUM(I3612:L3612)</f>
        <v>0</v>
      </c>
    </row>
    <row r="3613" spans="1:14" x14ac:dyDescent="0.25">
      <c r="A3613" s="121" t="s">
        <v>99</v>
      </c>
      <c r="B3613" s="121" t="s">
        <v>102</v>
      </c>
      <c r="C3613" s="62">
        <f>VLOOKUP(B3613,合并仓明细!$D$2:$F$74,3,0)</f>
        <v>76</v>
      </c>
      <c r="D3613" s="122" t="s">
        <v>393</v>
      </c>
      <c r="E3613" s="123">
        <v>46051</v>
      </c>
      <c r="F3613" s="121" t="s">
        <v>67</v>
      </c>
      <c r="G3613" s="121">
        <v>1495.561985</v>
      </c>
      <c r="H3613" s="124"/>
      <c r="I3613" s="125"/>
      <c r="J3613" s="125"/>
      <c r="K3613" s="125"/>
      <c r="L3613" s="121"/>
      <c r="M3613" s="126"/>
      <c r="N3613" s="121"/>
    </row>
    <row r="3614" spans="1:14" x14ac:dyDescent="0.25">
      <c r="A3614" s="121" t="s">
        <v>99</v>
      </c>
      <c r="B3614" s="121" t="s">
        <v>102</v>
      </c>
      <c r="C3614" s="62">
        <f>VLOOKUP(B3614,合并仓明细!$D$2:$F$74,3,0)</f>
        <v>76</v>
      </c>
      <c r="D3614" s="122" t="s">
        <v>393</v>
      </c>
      <c r="E3614" s="123">
        <v>46051</v>
      </c>
      <c r="F3614" s="121" t="s">
        <v>66</v>
      </c>
      <c r="G3614" s="121">
        <v>313.16404767</v>
      </c>
      <c r="H3614" s="124"/>
      <c r="I3614" s="125"/>
      <c r="J3614" s="125"/>
      <c r="K3614" s="125"/>
      <c r="L3614" s="121"/>
      <c r="M3614" s="126"/>
      <c r="N3614" s="121"/>
    </row>
    <row r="3615" spans="1:14" x14ac:dyDescent="0.25">
      <c r="A3615" s="121" t="s">
        <v>99</v>
      </c>
      <c r="B3615" s="121" t="s">
        <v>102</v>
      </c>
      <c r="C3615" s="62">
        <f>VLOOKUP(B3615,合并仓明细!$D$2:$F$74,3,0)</f>
        <v>76</v>
      </c>
      <c r="D3615" s="122" t="s">
        <v>393</v>
      </c>
      <c r="E3615" s="123">
        <v>46059</v>
      </c>
      <c r="F3615" s="121" t="s">
        <v>68</v>
      </c>
      <c r="G3615" s="121">
        <v>200.88</v>
      </c>
      <c r="H3615" s="124">
        <v>6.7316232687200008</v>
      </c>
      <c r="I3615" s="46">
        <f>ROUNDUP(H3615/30,0)*VLOOKUP(D3615,'报价表-配送'!$B$2:$I$6,8,0)</f>
        <v>0</v>
      </c>
      <c r="J3615" s="125"/>
      <c r="K3615" s="125"/>
      <c r="L3615" s="121"/>
      <c r="M3615" s="126"/>
      <c r="N3615" s="127">
        <f t="shared" ref="N3615" si="276">SUM(I3615:L3615)</f>
        <v>0</v>
      </c>
    </row>
    <row r="3616" spans="1:14" x14ac:dyDescent="0.25">
      <c r="A3616" s="121" t="s">
        <v>99</v>
      </c>
      <c r="B3616" s="121" t="s">
        <v>102</v>
      </c>
      <c r="C3616" s="62">
        <f>VLOOKUP(B3616,合并仓明细!$D$2:$F$74,3,0)</f>
        <v>76</v>
      </c>
      <c r="D3616" s="122" t="s">
        <v>393</v>
      </c>
      <c r="E3616" s="123">
        <v>46059</v>
      </c>
      <c r="F3616" s="121" t="s">
        <v>67</v>
      </c>
      <c r="G3616" s="121">
        <v>6140.5227354000008</v>
      </c>
      <c r="H3616" s="124"/>
      <c r="I3616" s="125"/>
      <c r="J3616" s="125"/>
      <c r="K3616" s="125"/>
      <c r="L3616" s="121"/>
      <c r="M3616" s="126"/>
      <c r="N3616" s="121"/>
    </row>
    <row r="3617" spans="1:14" x14ac:dyDescent="0.25">
      <c r="A3617" s="121" t="s">
        <v>99</v>
      </c>
      <c r="B3617" s="121" t="s">
        <v>102</v>
      </c>
      <c r="C3617" s="62">
        <f>VLOOKUP(B3617,合并仓明细!$D$2:$F$74,3,0)</f>
        <v>76</v>
      </c>
      <c r="D3617" s="122" t="s">
        <v>393</v>
      </c>
      <c r="E3617" s="123">
        <v>46059</v>
      </c>
      <c r="F3617" s="121" t="s">
        <v>66</v>
      </c>
      <c r="G3617" s="121">
        <v>390.2205333199999</v>
      </c>
      <c r="H3617" s="124"/>
      <c r="I3617" s="125"/>
      <c r="J3617" s="125"/>
      <c r="K3617" s="125"/>
      <c r="L3617" s="121"/>
      <c r="M3617" s="126"/>
      <c r="N3617" s="121"/>
    </row>
    <row r="3618" spans="1:14" x14ac:dyDescent="0.25">
      <c r="A3618" s="121" t="s">
        <v>99</v>
      </c>
      <c r="B3618" s="121" t="s">
        <v>102</v>
      </c>
      <c r="C3618" s="62">
        <f>VLOOKUP(B3618,合并仓明细!$D$2:$F$74,3,0)</f>
        <v>76</v>
      </c>
      <c r="D3618" s="122" t="s">
        <v>393</v>
      </c>
      <c r="E3618" s="123">
        <v>46091</v>
      </c>
      <c r="F3618" s="121" t="s">
        <v>67</v>
      </c>
      <c r="G3618" s="121">
        <v>2901.0409599999998</v>
      </c>
      <c r="H3618" s="124">
        <v>3.5336590736499995</v>
      </c>
      <c r="I3618" s="38">
        <f>IF(H3618&gt;30,QUOTIENT(H3618,30)*VLOOKUP(D3618,'报价表-配送'!$B$2:$I$6,8,0),0)+IF(AND(MOD(H3618,30)&gt;18,MOD(H3618,30)&lt;=30),1,0)*VLOOKUP(D3618,'报价表-配送'!$B$2:$I$6,8,0)</f>
        <v>0</v>
      </c>
      <c r="J3618" s="38">
        <f>IF(AND(MOD(H3618,30)&gt;8,MOD(H3618,30)&lt;=18),1*VLOOKUP(D3618,'报价表-配送'!$B$2:$I$6,7,0),0)</f>
        <v>0</v>
      </c>
      <c r="K3618" s="38">
        <f>IF(AND(MOD(H3618,30)&lt;=8,MOD(H3618,30)&gt;0),1,0)*VLOOKUP(D3618,'报价表-配送'!$B$2:$I$6,6,0)</f>
        <v>0</v>
      </c>
      <c r="L3618" s="121"/>
      <c r="M3618" s="126"/>
      <c r="N3618" s="127">
        <f t="shared" ref="N3618" si="277">SUM(I3618:L3618)</f>
        <v>0</v>
      </c>
    </row>
    <row r="3619" spans="1:14" x14ac:dyDescent="0.25">
      <c r="A3619" s="121" t="s">
        <v>99</v>
      </c>
      <c r="B3619" s="121" t="s">
        <v>102</v>
      </c>
      <c r="C3619" s="62">
        <f>VLOOKUP(B3619,合并仓明细!$D$2:$F$74,3,0)</f>
        <v>76</v>
      </c>
      <c r="D3619" s="122" t="s">
        <v>393</v>
      </c>
      <c r="E3619" s="123">
        <v>46091</v>
      </c>
      <c r="F3619" s="121" t="s">
        <v>66</v>
      </c>
      <c r="G3619" s="121">
        <v>632.61811365000005</v>
      </c>
      <c r="H3619" s="124"/>
      <c r="I3619" s="125"/>
      <c r="J3619" s="125"/>
      <c r="K3619" s="125"/>
      <c r="L3619" s="121"/>
      <c r="M3619" s="126"/>
      <c r="N3619" s="121"/>
    </row>
    <row r="3620" spans="1:14" x14ac:dyDescent="0.25">
      <c r="A3620" s="121" t="s">
        <v>99</v>
      </c>
      <c r="B3620" s="121" t="s">
        <v>102</v>
      </c>
      <c r="C3620" s="62">
        <f>VLOOKUP(B3620,合并仓明细!$D$2:$F$74,3,0)</f>
        <v>76</v>
      </c>
      <c r="D3620" s="122" t="s">
        <v>393</v>
      </c>
      <c r="E3620" s="123">
        <v>46107</v>
      </c>
      <c r="F3620" s="121" t="s">
        <v>68</v>
      </c>
      <c r="G3620" s="121">
        <v>192.07140000000001</v>
      </c>
      <c r="H3620" s="124">
        <v>0.99590569400000006</v>
      </c>
      <c r="I3620" s="46">
        <f>ROUNDUP(H3620/30,0)*VLOOKUP(D3620,'报价表-配送'!$B$2:$I$6,8,0)</f>
        <v>0</v>
      </c>
      <c r="J3620" s="125"/>
      <c r="K3620" s="125"/>
      <c r="L3620" s="121"/>
      <c r="M3620" s="126"/>
      <c r="N3620" s="127">
        <f t="shared" ref="N3620" si="278">SUM(I3620:L3620)</f>
        <v>0</v>
      </c>
    </row>
    <row r="3621" spans="1:14" x14ac:dyDescent="0.25">
      <c r="A3621" s="121" t="s">
        <v>99</v>
      </c>
      <c r="B3621" s="121" t="s">
        <v>102</v>
      </c>
      <c r="C3621" s="62">
        <f>VLOOKUP(B3621,合并仓明细!$D$2:$F$74,3,0)</f>
        <v>76</v>
      </c>
      <c r="D3621" s="122" t="s">
        <v>393</v>
      </c>
      <c r="E3621" s="123">
        <v>46107</v>
      </c>
      <c r="F3621" s="121" t="s">
        <v>67</v>
      </c>
      <c r="G3621" s="121">
        <v>522.99179400000003</v>
      </c>
      <c r="H3621" s="124"/>
      <c r="I3621" s="125"/>
      <c r="J3621" s="125"/>
      <c r="K3621" s="125"/>
      <c r="L3621" s="121"/>
      <c r="M3621" s="126"/>
      <c r="N3621" s="121"/>
    </row>
    <row r="3622" spans="1:14" x14ac:dyDescent="0.25">
      <c r="A3622" s="121" t="s">
        <v>99</v>
      </c>
      <c r="B3622" s="121" t="s">
        <v>102</v>
      </c>
      <c r="C3622" s="62">
        <f>VLOOKUP(B3622,合并仓明细!$D$2:$F$74,3,0)</f>
        <v>76</v>
      </c>
      <c r="D3622" s="122" t="s">
        <v>393</v>
      </c>
      <c r="E3622" s="123">
        <v>46107</v>
      </c>
      <c r="F3622" s="121" t="s">
        <v>66</v>
      </c>
      <c r="G3622" s="121">
        <v>280.84249999999997</v>
      </c>
      <c r="H3622" s="124"/>
      <c r="I3622" s="125"/>
      <c r="J3622" s="125"/>
      <c r="K3622" s="125"/>
      <c r="L3622" s="121"/>
      <c r="M3622" s="126"/>
      <c r="N3622" s="121"/>
    </row>
    <row r="3623" spans="1:14" x14ac:dyDescent="0.25">
      <c r="A3623" s="121" t="s">
        <v>99</v>
      </c>
      <c r="B3623" s="121" t="s">
        <v>102</v>
      </c>
      <c r="C3623" s="62">
        <f>VLOOKUP(B3623,合并仓明细!$D$2:$F$74,3,0)</f>
        <v>76</v>
      </c>
      <c r="D3623" s="122" t="s">
        <v>393</v>
      </c>
      <c r="E3623" s="123">
        <v>46108</v>
      </c>
      <c r="F3623" s="121" t="s">
        <v>67</v>
      </c>
      <c r="G3623" s="121">
        <v>109.50658800000001</v>
      </c>
      <c r="H3623" s="124">
        <v>0.16021558800000002</v>
      </c>
      <c r="I3623" s="38">
        <f>IF(H3623&gt;30,QUOTIENT(H3623,30)*VLOOKUP(D3623,'报价表-配送'!$B$2:$I$6,8,0),0)+IF(AND(MOD(H3623,30)&gt;18,MOD(H3623,30)&lt;=30),1,0)*VLOOKUP(D3623,'报价表-配送'!$B$2:$I$6,8,0)</f>
        <v>0</v>
      </c>
      <c r="J3623" s="38">
        <f>IF(AND(MOD(H3623,30)&gt;8,MOD(H3623,30)&lt;=18),1*VLOOKUP(D3623,'报价表-配送'!$B$2:$I$6,7,0),0)</f>
        <v>0</v>
      </c>
      <c r="K3623" s="38">
        <f>IF(AND(MOD(H3623,30)&lt;=8,MOD(H3623,30)&gt;0),1,0)*VLOOKUP(D3623,'报价表-配送'!$B$2:$I$6,6,0)</f>
        <v>0</v>
      </c>
      <c r="L3623" s="121"/>
      <c r="M3623" s="126"/>
      <c r="N3623" s="127">
        <f t="shared" ref="N3623" si="279">SUM(I3623:L3623)</f>
        <v>0</v>
      </c>
    </row>
    <row r="3624" spans="1:14" x14ac:dyDescent="0.25">
      <c r="A3624" s="121" t="s">
        <v>99</v>
      </c>
      <c r="B3624" s="121" t="s">
        <v>102</v>
      </c>
      <c r="C3624" s="62">
        <f>VLOOKUP(B3624,合并仓明细!$D$2:$F$74,3,0)</f>
        <v>76</v>
      </c>
      <c r="D3624" s="122" t="s">
        <v>393</v>
      </c>
      <c r="E3624" s="123">
        <v>46108</v>
      </c>
      <c r="F3624" s="121" t="s">
        <v>66</v>
      </c>
      <c r="G3624" s="121">
        <v>50.709000000000003</v>
      </c>
      <c r="H3624" s="124"/>
      <c r="I3624" s="125"/>
      <c r="J3624" s="125"/>
      <c r="K3624" s="125"/>
      <c r="L3624" s="121"/>
      <c r="M3624" s="126"/>
      <c r="N3624" s="121"/>
    </row>
    <row r="3625" spans="1:14" x14ac:dyDescent="0.25">
      <c r="A3625" s="121" t="s">
        <v>99</v>
      </c>
      <c r="B3625" s="121" t="s">
        <v>102</v>
      </c>
      <c r="C3625" s="62">
        <f>VLOOKUP(B3625,合并仓明细!$D$2:$F$74,3,0)</f>
        <v>76</v>
      </c>
      <c r="D3625" s="122" t="s">
        <v>393</v>
      </c>
      <c r="E3625" s="123">
        <v>46111</v>
      </c>
      <c r="F3625" s="121" t="s">
        <v>68</v>
      </c>
      <c r="G3625" s="121">
        <v>78.552000000000007</v>
      </c>
      <c r="H3625" s="124">
        <v>1.2519295000000001</v>
      </c>
      <c r="I3625" s="46">
        <f>ROUNDUP(H3625/30,0)*VLOOKUP(D3625,'报价表-配送'!$B$2:$I$6,8,0)</f>
        <v>0</v>
      </c>
      <c r="J3625" s="125"/>
      <c r="K3625" s="125"/>
      <c r="L3625" s="121"/>
      <c r="M3625" s="126"/>
      <c r="N3625" s="127">
        <f t="shared" ref="N3625" si="280">SUM(I3625:L3625)</f>
        <v>0</v>
      </c>
    </row>
    <row r="3626" spans="1:14" x14ac:dyDescent="0.25">
      <c r="A3626" s="121" t="s">
        <v>99</v>
      </c>
      <c r="B3626" s="121" t="s">
        <v>102</v>
      </c>
      <c r="C3626" s="62">
        <f>VLOOKUP(B3626,合并仓明细!$D$2:$F$74,3,0)</f>
        <v>76</v>
      </c>
      <c r="D3626" s="122" t="s">
        <v>393</v>
      </c>
      <c r="E3626" s="123">
        <v>46111</v>
      </c>
      <c r="F3626" s="121" t="s">
        <v>66</v>
      </c>
      <c r="G3626" s="121">
        <v>1173.3775000000003</v>
      </c>
      <c r="H3626" s="124"/>
      <c r="I3626" s="125"/>
      <c r="J3626" s="125"/>
      <c r="K3626" s="125"/>
      <c r="L3626" s="121"/>
      <c r="M3626" s="126"/>
      <c r="N3626" s="121"/>
    </row>
    <row r="3627" spans="1:14" x14ac:dyDescent="0.25">
      <c r="A3627" s="121" t="s">
        <v>125</v>
      </c>
      <c r="B3627" s="121" t="s">
        <v>126</v>
      </c>
      <c r="C3627" s="62">
        <f>VLOOKUP(B3627,合并仓明细!$D$2:$F$74,3,0)</f>
        <v>107</v>
      </c>
      <c r="D3627" s="122" t="s">
        <v>413</v>
      </c>
      <c r="E3627" s="123">
        <v>45952</v>
      </c>
      <c r="F3627" s="121" t="s">
        <v>66</v>
      </c>
      <c r="G3627" s="121">
        <v>106.8683333</v>
      </c>
      <c r="H3627" s="124">
        <v>0.10686833330000001</v>
      </c>
      <c r="I3627" s="125"/>
      <c r="J3627" s="125"/>
      <c r="K3627" s="125"/>
      <c r="L3627" s="37">
        <f>IF(H3627&gt;30,QUOTIENT(H3627,30)*VLOOKUP(D3627,'报价表-配送'!$B$91:$I$95,8,0),0)+IF(AND(MOD(H3627,30)&gt;18,MOD(H3627,30)&lt;=30),1,0)*VLOOKUP(D3627,'报价表-配送'!$B$91:$I$95,8,0)+IF(AND(MOD(H3627,30)&gt;8,MOD(H3627,30)&lt;=18),1*VLOOKUP(D3627,'报价表-配送'!$B$91:$I$95,7,0),0)+IF(AND(MOD(H3627,30)&lt;=8,MOD(H3627,30)&gt;2.5),1,0)*VLOOKUP(D3627,'报价表-配送'!$B$91:$I$95,6,0)+IF(AND(MOD(H3627,30)&lt;=2.5,MOD(H3627,30)&gt;=1.5),1,0)*VLOOKUP(D3627,'报价表-配送'!$B$91:$I$95,5,0)</f>
        <v>0</v>
      </c>
      <c r="M3627" s="39">
        <f>IF(AND(MOD(H3627,30)&lt;1.5,MOD(H3627,30)&gt;=0.5),H3627,0)*VLOOKUP(D3627,'报价表-配送'!$B$91:$I$95,4,0)*1000+IF(AND(MOD(H3627,30)&lt;0.5,MOD(H3627,30)&gt;=0.02),H3627,0)*VLOOKUP(D3627,'报价表-配送'!$B$91:$I$95,3,0)*1000+IF(AND(MOD(H3627,30)&lt;0.02),H3627,0)*VLOOKUP(D3627,'报价表-配送'!$B$91:$I$95,2,0)*1000</f>
        <v>0</v>
      </c>
      <c r="N3627" s="127">
        <f t="shared" ref="N3627:N3628" si="281">SUM(I3627:L3627)</f>
        <v>0</v>
      </c>
    </row>
    <row r="3628" spans="1:14" x14ac:dyDescent="0.25">
      <c r="A3628" s="121" t="s">
        <v>125</v>
      </c>
      <c r="B3628" s="121" t="s">
        <v>126</v>
      </c>
      <c r="C3628" s="62">
        <f>VLOOKUP(B3628,合并仓明细!$D$2:$F$74,3,0)</f>
        <v>107</v>
      </c>
      <c r="D3628" s="122" t="s">
        <v>413</v>
      </c>
      <c r="E3628" s="123">
        <v>45958</v>
      </c>
      <c r="F3628" s="121" t="s">
        <v>67</v>
      </c>
      <c r="G3628" s="121">
        <v>11978.628912</v>
      </c>
      <c r="H3628" s="124">
        <v>11.997928911999999</v>
      </c>
      <c r="I3628" s="38">
        <f>IF(H3628&gt;30,QUOTIENT(H3628,30)*VLOOKUP(D3628,'报价表-配送'!$B$91:$I$95,8,0),0)+IF(AND(MOD(H3628,30)&gt;18,MOD(H3628,30)&lt;=30),1,0)*VLOOKUP(D3628,'报价表-配送'!$B$91:$I$95,8,0)</f>
        <v>0</v>
      </c>
      <c r="J3628" s="38">
        <f>IF(AND(MOD(H3628,30)&gt;8,MOD(H3628,30)&lt;=18),1*VLOOKUP(D3628,'报价表-配送'!$B$91:$I$95,7,0),0)</f>
        <v>0</v>
      </c>
      <c r="K3628" s="38">
        <f>IF(AND(MOD(H3628,30)&lt;=8,MOD(H3628,30)&gt;0),1,0)*VLOOKUP(D3628,'报价表-配送'!$B$91:$I$95,6,0)</f>
        <v>0</v>
      </c>
      <c r="L3628" s="121"/>
      <c r="M3628" s="126"/>
      <c r="N3628" s="127">
        <f t="shared" si="281"/>
        <v>0</v>
      </c>
    </row>
    <row r="3629" spans="1:14" x14ac:dyDescent="0.25">
      <c r="A3629" s="121" t="s">
        <v>125</v>
      </c>
      <c r="B3629" s="121" t="s">
        <v>126</v>
      </c>
      <c r="C3629" s="62">
        <f>VLOOKUP(B3629,合并仓明细!$D$2:$F$74,3,0)</f>
        <v>107</v>
      </c>
      <c r="D3629" s="122" t="s">
        <v>413</v>
      </c>
      <c r="E3629" s="123">
        <v>45958</v>
      </c>
      <c r="F3629" s="121" t="s">
        <v>66</v>
      </c>
      <c r="G3629" s="121">
        <v>19.3</v>
      </c>
      <c r="H3629" s="124"/>
      <c r="I3629" s="125"/>
      <c r="J3629" s="125"/>
      <c r="K3629" s="125"/>
      <c r="L3629" s="121"/>
      <c r="M3629" s="126"/>
      <c r="N3629" s="121"/>
    </row>
    <row r="3630" spans="1:14" x14ac:dyDescent="0.25">
      <c r="A3630" s="121" t="s">
        <v>125</v>
      </c>
      <c r="B3630" s="121" t="s">
        <v>126</v>
      </c>
      <c r="C3630" s="62">
        <f>VLOOKUP(B3630,合并仓明细!$D$2:$F$74,3,0)</f>
        <v>107</v>
      </c>
      <c r="D3630" s="122" t="s">
        <v>413</v>
      </c>
      <c r="E3630" s="123">
        <v>45972</v>
      </c>
      <c r="F3630" s="121" t="s">
        <v>68</v>
      </c>
      <c r="G3630" s="121">
        <v>1458.6480000000001</v>
      </c>
      <c r="H3630" s="124">
        <v>1.9653780000000001</v>
      </c>
      <c r="I3630" s="46">
        <f>ROUNDUP(H3630/30,0)*VLOOKUP(D3630,'报价表-配送'!$B$91:$I$95,8,0)</f>
        <v>0</v>
      </c>
      <c r="J3630" s="125"/>
      <c r="K3630" s="125"/>
      <c r="L3630" s="121"/>
      <c r="M3630" s="126"/>
      <c r="N3630" s="127">
        <f t="shared" ref="N3630" si="282">SUM(I3630:L3630)</f>
        <v>0</v>
      </c>
    </row>
    <row r="3631" spans="1:14" x14ac:dyDescent="0.25">
      <c r="A3631" s="121" t="s">
        <v>125</v>
      </c>
      <c r="B3631" s="121" t="s">
        <v>126</v>
      </c>
      <c r="C3631" s="62">
        <f>VLOOKUP(B3631,合并仓明细!$D$2:$F$74,3,0)</f>
        <v>107</v>
      </c>
      <c r="D3631" s="122" t="s">
        <v>413</v>
      </c>
      <c r="E3631" s="123">
        <v>45972</v>
      </c>
      <c r="F3631" s="121" t="s">
        <v>66</v>
      </c>
      <c r="G3631" s="121">
        <v>506.72999999999996</v>
      </c>
      <c r="H3631" s="124"/>
      <c r="I3631" s="125"/>
      <c r="J3631" s="125"/>
      <c r="K3631" s="125"/>
      <c r="L3631" s="121"/>
      <c r="M3631" s="126"/>
      <c r="N3631" s="121"/>
    </row>
    <row r="3632" spans="1:14" x14ac:dyDescent="0.25">
      <c r="A3632" s="121" t="s">
        <v>125</v>
      </c>
      <c r="B3632" s="121" t="s">
        <v>126</v>
      </c>
      <c r="C3632" s="62">
        <f>VLOOKUP(B3632,合并仓明细!$D$2:$F$74,3,0)</f>
        <v>107</v>
      </c>
      <c r="D3632" s="122" t="s">
        <v>413</v>
      </c>
      <c r="E3632" s="123">
        <v>45981</v>
      </c>
      <c r="F3632" s="121" t="s">
        <v>66</v>
      </c>
      <c r="G3632" s="121">
        <v>900.38000001</v>
      </c>
      <c r="H3632" s="124">
        <v>0.90038000000999996</v>
      </c>
      <c r="I3632" s="125"/>
      <c r="J3632" s="125"/>
      <c r="K3632" s="125"/>
      <c r="L3632" s="37">
        <f>IF(H3632&gt;30,QUOTIENT(H3632,30)*VLOOKUP(D3632,'报价表-配送'!$B$91:$I$95,8,0),0)+IF(AND(MOD(H3632,30)&gt;18,MOD(H3632,30)&lt;=30),1,0)*VLOOKUP(D3632,'报价表-配送'!$B$91:$I$95,8,0)+IF(AND(MOD(H3632,30)&gt;8,MOD(H3632,30)&lt;=18),1*VLOOKUP(D3632,'报价表-配送'!$B$91:$I$95,7,0),0)+IF(AND(MOD(H3632,30)&lt;=8,MOD(H3632,30)&gt;2.5),1,0)*VLOOKUP(D3632,'报价表-配送'!$B$91:$I$95,6,0)+IF(AND(MOD(H3632,30)&lt;=2.5,MOD(H3632,30)&gt;=1.5),1,0)*VLOOKUP(D3632,'报价表-配送'!$B$91:$I$95,5,0)</f>
        <v>0</v>
      </c>
      <c r="M3632" s="39">
        <f>IF(AND(MOD(H3632,30)&lt;1.5,MOD(H3632,30)&gt;=0.5),H3632,0)*VLOOKUP(D3632,'报价表-配送'!$B$91:$I$95,4,0)*1000+IF(AND(MOD(H3632,30)&lt;0.5,MOD(H3632,30)&gt;=0.02),H3632,0)*VLOOKUP(D3632,'报价表-配送'!$B$91:$I$95,3,0)*1000+IF(AND(MOD(H3632,30)&lt;0.02),H3632,0)*VLOOKUP(D3632,'报价表-配送'!$B$91:$I$95,2,0)*1000</f>
        <v>0</v>
      </c>
      <c r="N3632" s="127">
        <f t="shared" ref="N3632:N3633" si="283">SUM(I3632:L3632)</f>
        <v>0</v>
      </c>
    </row>
    <row r="3633" spans="1:14" x14ac:dyDescent="0.25">
      <c r="A3633" s="121" t="s">
        <v>125</v>
      </c>
      <c r="B3633" s="121" t="s">
        <v>126</v>
      </c>
      <c r="C3633" s="62">
        <f>VLOOKUP(B3633,合并仓明细!$D$2:$F$74,3,0)</f>
        <v>107</v>
      </c>
      <c r="D3633" s="122" t="s">
        <v>413</v>
      </c>
      <c r="E3633" s="123">
        <v>45994</v>
      </c>
      <c r="F3633" s="121" t="s">
        <v>67</v>
      </c>
      <c r="G3633" s="121">
        <v>1293.71</v>
      </c>
      <c r="H3633" s="124">
        <v>1.5734300000000001</v>
      </c>
      <c r="I3633" s="38">
        <f>IF(H3633&gt;30,QUOTIENT(H3633,30)*VLOOKUP(D3633,'报价表-配送'!$B$91:$I$95,8,0),0)+IF(AND(MOD(H3633,30)&gt;18,MOD(H3633,30)&lt;=30),1,0)*VLOOKUP(D3633,'报价表-配送'!$B$91:$I$95,8,0)</f>
        <v>0</v>
      </c>
      <c r="J3633" s="38">
        <f>IF(AND(MOD(H3633,30)&gt;8,MOD(H3633,30)&lt;=18),1*VLOOKUP(D3633,'报价表-配送'!$B$91:$I$95,7,0),0)</f>
        <v>0</v>
      </c>
      <c r="K3633" s="38">
        <f>IF(AND(MOD(H3633,30)&lt;=8,MOD(H3633,30)&gt;0),1,0)*VLOOKUP(D3633,'报价表-配送'!$B$91:$I$95,6,0)</f>
        <v>0</v>
      </c>
      <c r="L3633" s="121"/>
      <c r="M3633" s="126"/>
      <c r="N3633" s="127">
        <f t="shared" si="283"/>
        <v>0</v>
      </c>
    </row>
    <row r="3634" spans="1:14" x14ac:dyDescent="0.25">
      <c r="A3634" s="121" t="s">
        <v>125</v>
      </c>
      <c r="B3634" s="121" t="s">
        <v>126</v>
      </c>
      <c r="C3634" s="62">
        <f>VLOOKUP(B3634,合并仓明细!$D$2:$F$74,3,0)</f>
        <v>107</v>
      </c>
      <c r="D3634" s="122" t="s">
        <v>413</v>
      </c>
      <c r="E3634" s="123">
        <v>45994</v>
      </c>
      <c r="F3634" s="121" t="s">
        <v>66</v>
      </c>
      <c r="G3634" s="121">
        <v>279.71999999999997</v>
      </c>
      <c r="H3634" s="124"/>
      <c r="I3634" s="125"/>
      <c r="J3634" s="125"/>
      <c r="K3634" s="125"/>
      <c r="L3634" s="121"/>
      <c r="M3634" s="126"/>
      <c r="N3634" s="121"/>
    </row>
    <row r="3635" spans="1:14" x14ac:dyDescent="0.25">
      <c r="A3635" s="121" t="s">
        <v>125</v>
      </c>
      <c r="B3635" s="121" t="s">
        <v>126</v>
      </c>
      <c r="C3635" s="62">
        <f>VLOOKUP(B3635,合并仓明细!$D$2:$F$74,3,0)</f>
        <v>107</v>
      </c>
      <c r="D3635" s="122" t="s">
        <v>413</v>
      </c>
      <c r="E3635" s="123">
        <v>46002</v>
      </c>
      <c r="F3635" s="121" t="s">
        <v>67</v>
      </c>
      <c r="G3635" s="121">
        <v>4376.04</v>
      </c>
      <c r="H3635" s="124">
        <v>4.4760400000000002</v>
      </c>
      <c r="I3635" s="38">
        <f>IF(H3635&gt;30,QUOTIENT(H3635,30)*VLOOKUP(D3635,'报价表-配送'!$B$91:$I$95,8,0),0)+IF(AND(MOD(H3635,30)&gt;18,MOD(H3635,30)&lt;=30),1,0)*VLOOKUP(D3635,'报价表-配送'!$B$91:$I$95,8,0)</f>
        <v>0</v>
      </c>
      <c r="J3635" s="38">
        <f>IF(AND(MOD(H3635,30)&gt;8,MOD(H3635,30)&lt;=18),1*VLOOKUP(D3635,'报价表-配送'!$B$91:$I$95,7,0),0)</f>
        <v>0</v>
      </c>
      <c r="K3635" s="38">
        <f>IF(AND(MOD(H3635,30)&lt;=8,MOD(H3635,30)&gt;0),1,0)*VLOOKUP(D3635,'报价表-配送'!$B$91:$I$95,6,0)</f>
        <v>0</v>
      </c>
      <c r="L3635" s="121"/>
      <c r="M3635" s="126"/>
      <c r="N3635" s="127">
        <f t="shared" ref="N3635" si="284">SUM(I3635:L3635)</f>
        <v>0</v>
      </c>
    </row>
    <row r="3636" spans="1:14" x14ac:dyDescent="0.25">
      <c r="A3636" s="121" t="s">
        <v>125</v>
      </c>
      <c r="B3636" s="121" t="s">
        <v>126</v>
      </c>
      <c r="C3636" s="62">
        <f>VLOOKUP(B3636,合并仓明细!$D$2:$F$74,3,0)</f>
        <v>107</v>
      </c>
      <c r="D3636" s="122" t="s">
        <v>413</v>
      </c>
      <c r="E3636" s="123">
        <v>46002</v>
      </c>
      <c r="F3636" s="121" t="s">
        <v>66</v>
      </c>
      <c r="G3636" s="121">
        <v>100</v>
      </c>
      <c r="H3636" s="124"/>
      <c r="I3636" s="125"/>
      <c r="J3636" s="125"/>
      <c r="K3636" s="125"/>
      <c r="L3636" s="121"/>
      <c r="M3636" s="126"/>
      <c r="N3636" s="121"/>
    </row>
    <row r="3637" spans="1:14" x14ac:dyDescent="0.25">
      <c r="A3637" s="121" t="s">
        <v>125</v>
      </c>
      <c r="B3637" s="121" t="s">
        <v>126</v>
      </c>
      <c r="C3637" s="62">
        <f>VLOOKUP(B3637,合并仓明细!$D$2:$F$74,3,0)</f>
        <v>107</v>
      </c>
      <c r="D3637" s="122" t="s">
        <v>413</v>
      </c>
      <c r="E3637" s="123">
        <v>46016</v>
      </c>
      <c r="F3637" s="121" t="s">
        <v>67</v>
      </c>
      <c r="G3637" s="121">
        <v>2827.3999999999996</v>
      </c>
      <c r="H3637" s="124">
        <v>3.0291366665799995</v>
      </c>
      <c r="I3637" s="38">
        <f>IF(H3637&gt;30,QUOTIENT(H3637,30)*VLOOKUP(D3637,'报价表-配送'!$B$91:$I$95,8,0),0)+IF(AND(MOD(H3637,30)&gt;18,MOD(H3637,30)&lt;=30),1,0)*VLOOKUP(D3637,'报价表-配送'!$B$91:$I$95,8,0)</f>
        <v>0</v>
      </c>
      <c r="J3637" s="38">
        <f>IF(AND(MOD(H3637,30)&gt;8,MOD(H3637,30)&lt;=18),1*VLOOKUP(D3637,'报价表-配送'!$B$91:$I$95,7,0),0)</f>
        <v>0</v>
      </c>
      <c r="K3637" s="38">
        <f>IF(AND(MOD(H3637,30)&lt;=8,MOD(H3637,30)&gt;0),1,0)*VLOOKUP(D3637,'报价表-配送'!$B$91:$I$95,6,0)</f>
        <v>0</v>
      </c>
      <c r="L3637" s="121"/>
      <c r="M3637" s="126"/>
      <c r="N3637" s="127">
        <f t="shared" ref="N3637" si="285">SUM(I3637:L3637)</f>
        <v>0</v>
      </c>
    </row>
    <row r="3638" spans="1:14" x14ac:dyDescent="0.25">
      <c r="A3638" s="121" t="s">
        <v>125</v>
      </c>
      <c r="B3638" s="121" t="s">
        <v>126</v>
      </c>
      <c r="C3638" s="62">
        <f>VLOOKUP(B3638,合并仓明细!$D$2:$F$74,3,0)</f>
        <v>107</v>
      </c>
      <c r="D3638" s="122" t="s">
        <v>413</v>
      </c>
      <c r="E3638" s="123">
        <v>46016</v>
      </c>
      <c r="F3638" s="121" t="s">
        <v>66</v>
      </c>
      <c r="G3638" s="121">
        <v>201.73666657999999</v>
      </c>
      <c r="H3638" s="124"/>
      <c r="I3638" s="125"/>
      <c r="J3638" s="125"/>
      <c r="K3638" s="125"/>
      <c r="L3638" s="121"/>
      <c r="M3638" s="126"/>
      <c r="N3638" s="121"/>
    </row>
    <row r="3639" spans="1:14" x14ac:dyDescent="0.25">
      <c r="A3639" s="121" t="s">
        <v>125</v>
      </c>
      <c r="B3639" s="121" t="s">
        <v>126</v>
      </c>
      <c r="C3639" s="62">
        <f>VLOOKUP(B3639,合并仓明细!$D$2:$F$74,3,0)</f>
        <v>107</v>
      </c>
      <c r="D3639" s="122" t="s">
        <v>413</v>
      </c>
      <c r="E3639" s="123">
        <v>46029</v>
      </c>
      <c r="F3639" s="121" t="s">
        <v>66</v>
      </c>
      <c r="G3639" s="121">
        <v>1096.19</v>
      </c>
      <c r="H3639" s="124">
        <v>1.09619</v>
      </c>
      <c r="I3639" s="125"/>
      <c r="J3639" s="125"/>
      <c r="K3639" s="125"/>
      <c r="L3639" s="37">
        <f>IF(H3639&gt;30,QUOTIENT(H3639,30)*VLOOKUP(D3639,'报价表-配送'!$B$91:$I$95,8,0),0)+IF(AND(MOD(H3639,30)&gt;18,MOD(H3639,30)&lt;=30),1,0)*VLOOKUP(D3639,'报价表-配送'!$B$91:$I$95,8,0)+IF(AND(MOD(H3639,30)&gt;8,MOD(H3639,30)&lt;=18),1*VLOOKUP(D3639,'报价表-配送'!$B$91:$I$95,7,0),0)+IF(AND(MOD(H3639,30)&lt;=8,MOD(H3639,30)&gt;2.5),1,0)*VLOOKUP(D3639,'报价表-配送'!$B$91:$I$95,6,0)+IF(AND(MOD(H3639,30)&lt;=2.5,MOD(H3639,30)&gt;=1.5),1,0)*VLOOKUP(D3639,'报价表-配送'!$B$91:$I$95,5,0)</f>
        <v>0</v>
      </c>
      <c r="M3639" s="39">
        <f>IF(AND(MOD(H3639,30)&lt;1.5,MOD(H3639,30)&gt;=0.5),H3639,0)*VLOOKUP(D3639,'报价表-配送'!$B$91:$I$95,4,0)*1000+IF(AND(MOD(H3639,30)&lt;0.5,MOD(H3639,30)&gt;=0.02),H3639,0)*VLOOKUP(D3639,'报价表-配送'!$B$91:$I$95,3,0)*1000+IF(AND(MOD(H3639,30)&lt;0.02),H3639,0)*VLOOKUP(D3639,'报价表-配送'!$B$91:$I$95,2,0)*1000</f>
        <v>0</v>
      </c>
      <c r="N3639" s="127">
        <f t="shared" ref="N3639:N3640" si="286">SUM(I3639:L3639)</f>
        <v>0</v>
      </c>
    </row>
    <row r="3640" spans="1:14" x14ac:dyDescent="0.25">
      <c r="A3640" s="121" t="s">
        <v>125</v>
      </c>
      <c r="B3640" s="121" t="s">
        <v>126</v>
      </c>
      <c r="C3640" s="62">
        <f>VLOOKUP(B3640,合并仓明细!$D$2:$F$74,3,0)</f>
        <v>107</v>
      </c>
      <c r="D3640" s="122" t="s">
        <v>413</v>
      </c>
      <c r="E3640" s="123">
        <v>46037</v>
      </c>
      <c r="F3640" s="121" t="s">
        <v>68</v>
      </c>
      <c r="G3640" s="121">
        <v>3173.76</v>
      </c>
      <c r="H3640" s="124">
        <v>6.267754172000001</v>
      </c>
      <c r="I3640" s="46">
        <f>ROUNDUP(H3640/30,0)*VLOOKUP(D3640,'报价表-配送'!$B$91:$I$95,8,0)</f>
        <v>0</v>
      </c>
      <c r="J3640" s="125"/>
      <c r="K3640" s="125"/>
      <c r="L3640" s="121"/>
      <c r="M3640" s="126"/>
      <c r="N3640" s="127">
        <f t="shared" si="286"/>
        <v>0</v>
      </c>
    </row>
    <row r="3641" spans="1:14" x14ac:dyDescent="0.25">
      <c r="A3641" s="121" t="s">
        <v>125</v>
      </c>
      <c r="B3641" s="121" t="s">
        <v>126</v>
      </c>
      <c r="C3641" s="62">
        <f>VLOOKUP(B3641,合并仓明细!$D$2:$F$74,3,0)</f>
        <v>107</v>
      </c>
      <c r="D3641" s="122" t="s">
        <v>413</v>
      </c>
      <c r="E3641" s="123">
        <v>46037</v>
      </c>
      <c r="F3641" s="121" t="s">
        <v>67</v>
      </c>
      <c r="G3641" s="121">
        <v>2733.5391720000002</v>
      </c>
      <c r="H3641" s="124"/>
      <c r="I3641" s="125"/>
      <c r="J3641" s="125"/>
      <c r="K3641" s="125"/>
      <c r="L3641" s="121"/>
      <c r="M3641" s="126"/>
      <c r="N3641" s="121"/>
    </row>
    <row r="3642" spans="1:14" x14ac:dyDescent="0.25">
      <c r="A3642" s="121" t="s">
        <v>125</v>
      </c>
      <c r="B3642" s="121" t="s">
        <v>126</v>
      </c>
      <c r="C3642" s="62">
        <f>VLOOKUP(B3642,合并仓明细!$D$2:$F$74,3,0)</f>
        <v>107</v>
      </c>
      <c r="D3642" s="122" t="s">
        <v>413</v>
      </c>
      <c r="E3642" s="123">
        <v>46037</v>
      </c>
      <c r="F3642" s="121" t="s">
        <v>66</v>
      </c>
      <c r="G3642" s="121">
        <v>360.45499999999998</v>
      </c>
      <c r="H3642" s="124"/>
      <c r="I3642" s="125"/>
      <c r="J3642" s="125"/>
      <c r="K3642" s="125"/>
      <c r="L3642" s="121"/>
      <c r="M3642" s="126"/>
      <c r="N3642" s="121"/>
    </row>
    <row r="3643" spans="1:14" x14ac:dyDescent="0.25">
      <c r="A3643" s="121" t="s">
        <v>125</v>
      </c>
      <c r="B3643" s="121" t="s">
        <v>126</v>
      </c>
      <c r="C3643" s="62">
        <f>VLOOKUP(B3643,合并仓明细!$D$2:$F$74,3,0)</f>
        <v>107</v>
      </c>
      <c r="D3643" s="122" t="s">
        <v>413</v>
      </c>
      <c r="E3643" s="123">
        <v>46044</v>
      </c>
      <c r="F3643" s="121" t="s">
        <v>66</v>
      </c>
      <c r="G3643" s="121">
        <v>289.90000000000003</v>
      </c>
      <c r="H3643" s="124">
        <v>0.28990000000000005</v>
      </c>
      <c r="I3643" s="125"/>
      <c r="J3643" s="125"/>
      <c r="K3643" s="125"/>
      <c r="L3643" s="37">
        <f>IF(H3643&gt;30,QUOTIENT(H3643,30)*VLOOKUP(D3643,'报价表-配送'!$B$91:$I$95,8,0),0)+IF(AND(MOD(H3643,30)&gt;18,MOD(H3643,30)&lt;=30),1,0)*VLOOKUP(D3643,'报价表-配送'!$B$91:$I$95,8,0)+IF(AND(MOD(H3643,30)&gt;8,MOD(H3643,30)&lt;=18),1*VLOOKUP(D3643,'报价表-配送'!$B$91:$I$95,7,0),0)+IF(AND(MOD(H3643,30)&lt;=8,MOD(H3643,30)&gt;2.5),1,0)*VLOOKUP(D3643,'报价表-配送'!$B$91:$I$95,6,0)+IF(AND(MOD(H3643,30)&lt;=2.5,MOD(H3643,30)&gt;=1.5),1,0)*VLOOKUP(D3643,'报价表-配送'!$B$91:$I$95,5,0)</f>
        <v>0</v>
      </c>
      <c r="M3643" s="39">
        <f>IF(AND(MOD(H3643,30)&lt;1.5,MOD(H3643,30)&gt;=0.5),H3643,0)*VLOOKUP(D3643,'报价表-配送'!$B$91:$I$95,4,0)*1000+IF(AND(MOD(H3643,30)&lt;0.5,MOD(H3643,30)&gt;=0.02),H3643,0)*VLOOKUP(D3643,'报价表-配送'!$B$91:$I$95,3,0)*1000+IF(AND(MOD(H3643,30)&lt;0.02),H3643,0)*VLOOKUP(D3643,'报价表-配送'!$B$91:$I$95,2,0)*1000</f>
        <v>0</v>
      </c>
      <c r="N3643" s="127">
        <f t="shared" ref="N3643:N3644" si="287">SUM(I3643:L3643)</f>
        <v>0</v>
      </c>
    </row>
    <row r="3644" spans="1:14" x14ac:dyDescent="0.25">
      <c r="A3644" s="121" t="s">
        <v>125</v>
      </c>
      <c r="B3644" s="121" t="s">
        <v>126</v>
      </c>
      <c r="C3644" s="62">
        <f>VLOOKUP(B3644,合并仓明细!$D$2:$F$74,3,0)</f>
        <v>107</v>
      </c>
      <c r="D3644" s="122" t="s">
        <v>413</v>
      </c>
      <c r="E3644" s="123">
        <v>46057</v>
      </c>
      <c r="F3644" s="121" t="s">
        <v>67</v>
      </c>
      <c r="G3644" s="121">
        <v>3175.8976865999998</v>
      </c>
      <c r="H3644" s="124">
        <v>4.2716810199999999</v>
      </c>
      <c r="I3644" s="38">
        <f>IF(H3644&gt;30,QUOTIENT(H3644,30)*VLOOKUP(D3644,'报价表-配送'!$B$91:$I$95,8,0),0)+IF(AND(MOD(H3644,30)&gt;18,MOD(H3644,30)&lt;=30),1,0)*VLOOKUP(D3644,'报价表-配送'!$B$91:$I$95,8,0)</f>
        <v>0</v>
      </c>
      <c r="J3644" s="38">
        <f>IF(AND(MOD(H3644,30)&gt;8,MOD(H3644,30)&lt;=18),1*VLOOKUP(D3644,'报价表-配送'!$B$91:$I$95,7,0),0)</f>
        <v>0</v>
      </c>
      <c r="K3644" s="38">
        <f>IF(AND(MOD(H3644,30)&lt;=8,MOD(H3644,30)&gt;0),1,0)*VLOOKUP(D3644,'报价表-配送'!$B$91:$I$95,6,0)</f>
        <v>0</v>
      </c>
      <c r="L3644" s="121"/>
      <c r="M3644" s="126"/>
      <c r="N3644" s="127">
        <f t="shared" si="287"/>
        <v>0</v>
      </c>
    </row>
    <row r="3645" spans="1:14" x14ac:dyDescent="0.25">
      <c r="A3645" s="121" t="s">
        <v>125</v>
      </c>
      <c r="B3645" s="121" t="s">
        <v>126</v>
      </c>
      <c r="C3645" s="62">
        <f>VLOOKUP(B3645,合并仓明细!$D$2:$F$74,3,0)</f>
        <v>107</v>
      </c>
      <c r="D3645" s="122" t="s">
        <v>413</v>
      </c>
      <c r="E3645" s="123">
        <v>46057</v>
      </c>
      <c r="F3645" s="121" t="s">
        <v>66</v>
      </c>
      <c r="G3645" s="121">
        <v>1095.7833333999999</v>
      </c>
      <c r="H3645" s="124"/>
      <c r="I3645" s="125"/>
      <c r="J3645" s="125"/>
      <c r="K3645" s="125"/>
      <c r="L3645" s="121"/>
      <c r="M3645" s="126"/>
      <c r="N3645" s="121"/>
    </row>
    <row r="3646" spans="1:14" x14ac:dyDescent="0.25">
      <c r="A3646" s="121" t="s">
        <v>125</v>
      </c>
      <c r="B3646" s="121" t="s">
        <v>126</v>
      </c>
      <c r="C3646" s="62">
        <f>VLOOKUP(B3646,合并仓明细!$D$2:$F$74,3,0)</f>
        <v>107</v>
      </c>
      <c r="D3646" s="122" t="s">
        <v>413</v>
      </c>
      <c r="E3646" s="123">
        <v>46086</v>
      </c>
      <c r="F3646" s="121" t="s">
        <v>68</v>
      </c>
      <c r="G3646" s="121">
        <v>3659.58</v>
      </c>
      <c r="H3646" s="124">
        <v>3.6595800000000001</v>
      </c>
      <c r="I3646" s="46">
        <f>ROUNDUP(H3646/30,0)*VLOOKUP(D3646,'报价表-配送'!$B$91:$I$95,8,0)</f>
        <v>0</v>
      </c>
      <c r="J3646" s="125"/>
      <c r="K3646" s="125"/>
      <c r="L3646" s="121"/>
      <c r="M3646" s="126"/>
      <c r="N3646" s="127">
        <f t="shared" ref="N3646:N3650" si="288">SUM(I3646:L3646)</f>
        <v>0</v>
      </c>
    </row>
    <row r="3647" spans="1:14" x14ac:dyDescent="0.25">
      <c r="A3647" s="121" t="s">
        <v>125</v>
      </c>
      <c r="B3647" s="121" t="s">
        <v>126</v>
      </c>
      <c r="C3647" s="62">
        <f>VLOOKUP(B3647,合并仓明细!$D$2:$F$74,3,0)</f>
        <v>107</v>
      </c>
      <c r="D3647" s="122" t="s">
        <v>413</v>
      </c>
      <c r="E3647" s="123">
        <v>46093</v>
      </c>
      <c r="F3647" s="121" t="s">
        <v>66</v>
      </c>
      <c r="G3647" s="121">
        <v>104.20833329999999</v>
      </c>
      <c r="H3647" s="124">
        <v>0.1042083333</v>
      </c>
      <c r="I3647" s="125"/>
      <c r="J3647" s="125"/>
      <c r="K3647" s="125"/>
      <c r="L3647" s="37">
        <f>IF(H3647&gt;30,QUOTIENT(H3647,30)*VLOOKUP(D3647,'报价表-配送'!$B$91:$I$95,8,0),0)+IF(AND(MOD(H3647,30)&gt;18,MOD(H3647,30)&lt;=30),1,0)*VLOOKUP(D3647,'报价表-配送'!$B$91:$I$95,8,0)+IF(AND(MOD(H3647,30)&gt;8,MOD(H3647,30)&lt;=18),1*VLOOKUP(D3647,'报价表-配送'!$B$91:$I$95,7,0),0)+IF(AND(MOD(H3647,30)&lt;=8,MOD(H3647,30)&gt;2.5),1,0)*VLOOKUP(D3647,'报价表-配送'!$B$91:$I$95,6,0)+IF(AND(MOD(H3647,30)&lt;=2.5,MOD(H3647,30)&gt;=1.5),1,0)*VLOOKUP(D3647,'报价表-配送'!$B$91:$I$95,5,0)</f>
        <v>0</v>
      </c>
      <c r="M3647" s="39">
        <f>IF(AND(MOD(H3647,30)&lt;1.5,MOD(H3647,30)&gt;=0.5),H3647,0)*VLOOKUP(D3647,'报价表-配送'!$B$91:$I$95,4,0)*1000+IF(AND(MOD(H3647,30)&lt;0.5,MOD(H3647,30)&gt;=0.02),H3647,0)*VLOOKUP(D3647,'报价表-配送'!$B$91:$I$95,3,0)*1000+IF(AND(MOD(H3647,30)&lt;0.02),H3647,0)*VLOOKUP(D3647,'报价表-配送'!$B$91:$I$95,2,0)*1000</f>
        <v>0</v>
      </c>
      <c r="N3647" s="127">
        <f t="shared" si="288"/>
        <v>0</v>
      </c>
    </row>
    <row r="3648" spans="1:14" x14ac:dyDescent="0.25">
      <c r="A3648" s="121" t="s">
        <v>125</v>
      </c>
      <c r="B3648" s="121" t="s">
        <v>126</v>
      </c>
      <c r="C3648" s="62">
        <f>VLOOKUP(B3648,合并仓明细!$D$2:$F$74,3,0)</f>
        <v>107</v>
      </c>
      <c r="D3648" s="122" t="s">
        <v>413</v>
      </c>
      <c r="E3648" s="123">
        <v>46104</v>
      </c>
      <c r="F3648" s="121" t="s">
        <v>66</v>
      </c>
      <c r="G3648" s="121">
        <v>31.6666667</v>
      </c>
      <c r="H3648" s="124">
        <v>3.1666666699999999E-2</v>
      </c>
      <c r="I3648" s="125"/>
      <c r="J3648" s="125"/>
      <c r="K3648" s="125"/>
      <c r="L3648" s="37">
        <f>IF(H3648&gt;30,QUOTIENT(H3648,30)*VLOOKUP(D3648,'报价表-配送'!$B$91:$I$95,8,0),0)+IF(AND(MOD(H3648,30)&gt;18,MOD(H3648,30)&lt;=30),1,0)*VLOOKUP(D3648,'报价表-配送'!$B$91:$I$95,8,0)+IF(AND(MOD(H3648,30)&gt;8,MOD(H3648,30)&lt;=18),1*VLOOKUP(D3648,'报价表-配送'!$B$91:$I$95,7,0),0)+IF(AND(MOD(H3648,30)&lt;=8,MOD(H3648,30)&gt;2.5),1,0)*VLOOKUP(D3648,'报价表-配送'!$B$91:$I$95,6,0)+IF(AND(MOD(H3648,30)&lt;=2.5,MOD(H3648,30)&gt;=1.5),1,0)*VLOOKUP(D3648,'报价表-配送'!$B$91:$I$95,5,0)</f>
        <v>0</v>
      </c>
      <c r="M3648" s="39">
        <f>IF(AND(MOD(H3648,30)&lt;1.5,MOD(H3648,30)&gt;=0.5),H3648,0)*VLOOKUP(D3648,'报价表-配送'!$B$91:$I$95,4,0)*1000+IF(AND(MOD(H3648,30)&lt;0.5,MOD(H3648,30)&gt;=0.02),H3648,0)*VLOOKUP(D3648,'报价表-配送'!$B$91:$I$95,3,0)*1000+IF(AND(MOD(H3648,30)&lt;0.02),H3648,0)*VLOOKUP(D3648,'报价表-配送'!$B$91:$I$95,2,0)*1000</f>
        <v>0</v>
      </c>
      <c r="N3648" s="127">
        <f t="shared" si="288"/>
        <v>0</v>
      </c>
    </row>
    <row r="3649" spans="1:14" x14ac:dyDescent="0.25">
      <c r="A3649" s="121" t="s">
        <v>125</v>
      </c>
      <c r="B3649" s="121" t="s">
        <v>128</v>
      </c>
      <c r="C3649" s="62">
        <f>VLOOKUP(B3649,合并仓明细!$D$2:$F$74,3,0)</f>
        <v>49</v>
      </c>
      <c r="D3649" s="122" t="s">
        <v>393</v>
      </c>
      <c r="E3649" s="123">
        <v>45944</v>
      </c>
      <c r="F3649" s="121" t="s">
        <v>66</v>
      </c>
      <c r="G3649" s="121">
        <v>76.949999999999989</v>
      </c>
      <c r="H3649" s="124">
        <v>7.6949999999999991E-2</v>
      </c>
      <c r="I3649" s="125"/>
      <c r="J3649" s="125"/>
      <c r="K3649" s="125"/>
      <c r="L3649" s="37">
        <f>IF(H3649&gt;30,QUOTIENT(H3649,30)*VLOOKUP(D3649,'报价表-配送'!$B$91:$I$95,8,0),0)+IF(AND(MOD(H3649,30)&gt;18,MOD(H3649,30)&lt;=30),1,0)*VLOOKUP(D3649,'报价表-配送'!$B$91:$I$95,8,0)+IF(AND(MOD(H3649,30)&gt;8,MOD(H3649,30)&lt;=18),1*VLOOKUP(D3649,'报价表-配送'!$B$91:$I$95,7,0),0)+IF(AND(MOD(H3649,30)&lt;=8,MOD(H3649,30)&gt;2.5),1,0)*VLOOKUP(D3649,'报价表-配送'!$B$91:$I$95,6,0)+IF(AND(MOD(H3649,30)&lt;=2.5,MOD(H3649,30)&gt;=1.5),1,0)*VLOOKUP(D3649,'报价表-配送'!$B$91:$I$95,5,0)</f>
        <v>0</v>
      </c>
      <c r="M3649" s="39">
        <f>IF(AND(MOD(H3649,30)&lt;1.5,MOD(H3649,30)&gt;=0.5),H3649,0)*VLOOKUP(D3649,'报价表-配送'!$B$91:$I$95,4,0)*1000+IF(AND(MOD(H3649,30)&lt;0.5,MOD(H3649,30)&gt;=0.02),H3649,0)*VLOOKUP(D3649,'报价表-配送'!$B$91:$I$95,3,0)*1000+IF(AND(MOD(H3649,30)&lt;0.02),H3649,0)*VLOOKUP(D3649,'报价表-配送'!$B$91:$I$95,2,0)*1000</f>
        <v>0</v>
      </c>
      <c r="N3649" s="127">
        <f t="shared" si="288"/>
        <v>0</v>
      </c>
    </row>
    <row r="3650" spans="1:14" x14ac:dyDescent="0.25">
      <c r="A3650" s="121" t="s">
        <v>125</v>
      </c>
      <c r="B3650" s="121" t="s">
        <v>128</v>
      </c>
      <c r="C3650" s="62">
        <f>VLOOKUP(B3650,合并仓明细!$D$2:$F$74,3,0)</f>
        <v>49</v>
      </c>
      <c r="D3650" s="122" t="s">
        <v>393</v>
      </c>
      <c r="E3650" s="123">
        <v>45945</v>
      </c>
      <c r="F3650" s="121" t="s">
        <v>68</v>
      </c>
      <c r="G3650" s="121">
        <v>1158.32376</v>
      </c>
      <c r="H3650" s="124">
        <v>21.589119008259996</v>
      </c>
      <c r="I3650" s="46">
        <f>ROUNDUP(H3650/30,0)*VLOOKUP(D3650,'报价表-配送'!$B$91:$I$95,8,0)</f>
        <v>0</v>
      </c>
      <c r="J3650" s="125"/>
      <c r="K3650" s="125"/>
      <c r="L3650" s="121"/>
      <c r="M3650" s="126"/>
      <c r="N3650" s="127">
        <f t="shared" si="288"/>
        <v>0</v>
      </c>
    </row>
    <row r="3651" spans="1:14" x14ac:dyDescent="0.25">
      <c r="A3651" s="121" t="s">
        <v>125</v>
      </c>
      <c r="B3651" s="121" t="s">
        <v>128</v>
      </c>
      <c r="C3651" s="62">
        <f>VLOOKUP(B3651,合并仓明细!$D$2:$F$74,3,0)</f>
        <v>49</v>
      </c>
      <c r="D3651" s="122" t="s">
        <v>393</v>
      </c>
      <c r="E3651" s="123">
        <v>45945</v>
      </c>
      <c r="F3651" s="121" t="s">
        <v>67</v>
      </c>
      <c r="G3651" s="121">
        <v>19681.554047999998</v>
      </c>
      <c r="H3651" s="124"/>
      <c r="I3651" s="125"/>
      <c r="J3651" s="125"/>
      <c r="K3651" s="125"/>
      <c r="L3651" s="121"/>
      <c r="M3651" s="126"/>
      <c r="N3651" s="121"/>
    </row>
    <row r="3652" spans="1:14" x14ac:dyDescent="0.25">
      <c r="A3652" s="121" t="s">
        <v>125</v>
      </c>
      <c r="B3652" s="121" t="s">
        <v>128</v>
      </c>
      <c r="C3652" s="62">
        <f>VLOOKUP(B3652,合并仓明细!$D$2:$F$74,3,0)</f>
        <v>49</v>
      </c>
      <c r="D3652" s="122" t="s">
        <v>393</v>
      </c>
      <c r="E3652" s="123">
        <v>45945</v>
      </c>
      <c r="F3652" s="121" t="s">
        <v>66</v>
      </c>
      <c r="G3652" s="121">
        <v>749.2412002599998</v>
      </c>
      <c r="H3652" s="124"/>
      <c r="I3652" s="125"/>
      <c r="J3652" s="125"/>
      <c r="K3652" s="125"/>
      <c r="L3652" s="121"/>
      <c r="M3652" s="126"/>
      <c r="N3652" s="121"/>
    </row>
    <row r="3653" spans="1:14" x14ac:dyDescent="0.25">
      <c r="A3653" s="121" t="s">
        <v>125</v>
      </c>
      <c r="B3653" s="121" t="s">
        <v>128</v>
      </c>
      <c r="C3653" s="62">
        <f>VLOOKUP(B3653,合并仓明细!$D$2:$F$74,3,0)</f>
        <v>49</v>
      </c>
      <c r="D3653" s="122" t="s">
        <v>393</v>
      </c>
      <c r="E3653" s="123">
        <v>45946</v>
      </c>
      <c r="F3653" s="121" t="s">
        <v>67</v>
      </c>
      <c r="G3653" s="121">
        <v>21933.368999999999</v>
      </c>
      <c r="H3653" s="124">
        <v>21.941468999999998</v>
      </c>
      <c r="I3653" s="38">
        <f>IF(H3653&gt;30,QUOTIENT(H3653,30)*VLOOKUP(D3653,'报价表-配送'!$B$91:$I$95,8,0),0)+IF(AND(MOD(H3653,30)&gt;18,MOD(H3653,30)&lt;=30),1,0)*VLOOKUP(D3653,'报价表-配送'!$B$91:$I$95,8,0)</f>
        <v>0</v>
      </c>
      <c r="J3653" s="38">
        <f>IF(AND(MOD(H3653,30)&gt;8,MOD(H3653,30)&lt;=18),1*VLOOKUP(D3653,'报价表-配送'!$B$91:$I$95,7,0),0)</f>
        <v>0</v>
      </c>
      <c r="K3653" s="38">
        <f>IF(AND(MOD(H3653,30)&lt;=8,MOD(H3653,30)&gt;0),1,0)*VLOOKUP(D3653,'报价表-配送'!$B$91:$I$95,6,0)</f>
        <v>0</v>
      </c>
      <c r="L3653" s="121"/>
      <c r="M3653" s="126"/>
      <c r="N3653" s="127">
        <f t="shared" ref="N3653" si="289">SUM(I3653:L3653)</f>
        <v>0</v>
      </c>
    </row>
    <row r="3654" spans="1:14" x14ac:dyDescent="0.25">
      <c r="A3654" s="121" t="s">
        <v>125</v>
      </c>
      <c r="B3654" s="121" t="s">
        <v>128</v>
      </c>
      <c r="C3654" s="62">
        <f>VLOOKUP(B3654,合并仓明细!$D$2:$F$74,3,0)</f>
        <v>49</v>
      </c>
      <c r="D3654" s="122" t="s">
        <v>393</v>
      </c>
      <c r="E3654" s="123">
        <v>45946</v>
      </c>
      <c r="F3654" s="121" t="s">
        <v>66</v>
      </c>
      <c r="G3654" s="121">
        <v>8.1</v>
      </c>
      <c r="H3654" s="124"/>
      <c r="I3654" s="125"/>
      <c r="J3654" s="125"/>
      <c r="K3654" s="125"/>
      <c r="L3654" s="121"/>
      <c r="M3654" s="126"/>
      <c r="N3654" s="121"/>
    </row>
    <row r="3655" spans="1:14" x14ac:dyDescent="0.25">
      <c r="A3655" s="121" t="s">
        <v>125</v>
      </c>
      <c r="B3655" s="121" t="s">
        <v>128</v>
      </c>
      <c r="C3655" s="62">
        <f>VLOOKUP(B3655,合并仓明细!$D$2:$F$74,3,0)</f>
        <v>49</v>
      </c>
      <c r="D3655" s="122" t="s">
        <v>393</v>
      </c>
      <c r="E3655" s="123">
        <v>45958</v>
      </c>
      <c r="F3655" s="121" t="s">
        <v>68</v>
      </c>
      <c r="G3655" s="121">
        <v>129.12</v>
      </c>
      <c r="H3655" s="124">
        <v>21.348533732009997</v>
      </c>
      <c r="I3655" s="46">
        <f>ROUNDUP(H3655/30,0)*VLOOKUP(D3655,'报价表-配送'!$B$91:$I$95,8,0)</f>
        <v>0</v>
      </c>
      <c r="J3655" s="125"/>
      <c r="K3655" s="125"/>
      <c r="L3655" s="121"/>
      <c r="M3655" s="126"/>
      <c r="N3655" s="127">
        <f t="shared" ref="N3655" si="290">SUM(I3655:L3655)</f>
        <v>0</v>
      </c>
    </row>
    <row r="3656" spans="1:14" x14ac:dyDescent="0.25">
      <c r="A3656" s="121" t="s">
        <v>125</v>
      </c>
      <c r="B3656" s="121" t="s">
        <v>128</v>
      </c>
      <c r="C3656" s="62">
        <f>VLOOKUP(B3656,合并仓明细!$D$2:$F$74,3,0)</f>
        <v>49</v>
      </c>
      <c r="D3656" s="122" t="s">
        <v>393</v>
      </c>
      <c r="E3656" s="123">
        <v>45958</v>
      </c>
      <c r="F3656" s="121" t="s">
        <v>67</v>
      </c>
      <c r="G3656" s="121">
        <v>19191.342731999997</v>
      </c>
      <c r="H3656" s="124"/>
      <c r="I3656" s="125"/>
      <c r="J3656" s="125"/>
      <c r="K3656" s="125"/>
      <c r="L3656" s="121"/>
      <c r="M3656" s="126"/>
      <c r="N3656" s="121"/>
    </row>
    <row r="3657" spans="1:14" x14ac:dyDescent="0.25">
      <c r="A3657" s="121" t="s">
        <v>125</v>
      </c>
      <c r="B3657" s="121" t="s">
        <v>128</v>
      </c>
      <c r="C3657" s="62">
        <f>VLOOKUP(B3657,合并仓明细!$D$2:$F$74,3,0)</f>
        <v>49</v>
      </c>
      <c r="D3657" s="122" t="s">
        <v>393</v>
      </c>
      <c r="E3657" s="123">
        <v>45958</v>
      </c>
      <c r="F3657" s="121" t="s">
        <v>66</v>
      </c>
      <c r="G3657" s="121">
        <v>2028.0710000099998</v>
      </c>
      <c r="H3657" s="124"/>
      <c r="I3657" s="125"/>
      <c r="J3657" s="125"/>
      <c r="K3657" s="125"/>
      <c r="L3657" s="121"/>
      <c r="M3657" s="126"/>
      <c r="N3657" s="121"/>
    </row>
    <row r="3658" spans="1:14" x14ac:dyDescent="0.25">
      <c r="A3658" s="121" t="s">
        <v>125</v>
      </c>
      <c r="B3658" s="121" t="s">
        <v>128</v>
      </c>
      <c r="C3658" s="62">
        <f>VLOOKUP(B3658,合并仓明细!$D$2:$F$74,3,0)</f>
        <v>49</v>
      </c>
      <c r="D3658" s="122" t="s">
        <v>393</v>
      </c>
      <c r="E3658" s="123">
        <v>45967</v>
      </c>
      <c r="F3658" s="121" t="s">
        <v>68</v>
      </c>
      <c r="G3658" s="121">
        <v>3810.4740000000002</v>
      </c>
      <c r="H3658" s="124">
        <v>4.3979356666100005</v>
      </c>
      <c r="I3658" s="46">
        <f>ROUNDUP(H3658/30,0)*VLOOKUP(D3658,'报价表-配送'!$B$91:$I$95,8,0)</f>
        <v>0</v>
      </c>
      <c r="J3658" s="125"/>
      <c r="K3658" s="125"/>
      <c r="L3658" s="121"/>
      <c r="M3658" s="126"/>
      <c r="N3658" s="127">
        <f t="shared" ref="N3658" si="291">SUM(I3658:L3658)</f>
        <v>0</v>
      </c>
    </row>
    <row r="3659" spans="1:14" x14ac:dyDescent="0.25">
      <c r="A3659" s="121" t="s">
        <v>125</v>
      </c>
      <c r="B3659" s="121" t="s">
        <v>128</v>
      </c>
      <c r="C3659" s="62">
        <f>VLOOKUP(B3659,合并仓明细!$D$2:$F$74,3,0)</f>
        <v>49</v>
      </c>
      <c r="D3659" s="122" t="s">
        <v>393</v>
      </c>
      <c r="E3659" s="123">
        <v>45967</v>
      </c>
      <c r="F3659" s="121" t="s">
        <v>66</v>
      </c>
      <c r="G3659" s="121">
        <v>587.46166660999995</v>
      </c>
      <c r="H3659" s="124"/>
      <c r="I3659" s="125"/>
      <c r="J3659" s="125"/>
      <c r="K3659" s="125"/>
      <c r="L3659" s="121"/>
      <c r="M3659" s="126"/>
      <c r="N3659" s="121"/>
    </row>
    <row r="3660" spans="1:14" x14ac:dyDescent="0.25">
      <c r="A3660" s="121" t="s">
        <v>125</v>
      </c>
      <c r="B3660" s="121" t="s">
        <v>128</v>
      </c>
      <c r="C3660" s="62">
        <f>VLOOKUP(B3660,合并仓明细!$D$2:$F$74,3,0)</f>
        <v>49</v>
      </c>
      <c r="D3660" s="122" t="s">
        <v>393</v>
      </c>
      <c r="E3660" s="123">
        <v>45972</v>
      </c>
      <c r="F3660" s="121" t="s">
        <v>68</v>
      </c>
      <c r="G3660" s="121">
        <v>335.71200000000005</v>
      </c>
      <c r="H3660" s="124">
        <v>0.70508199999999999</v>
      </c>
      <c r="I3660" s="46">
        <f>ROUNDUP(H3660/30,0)*VLOOKUP(D3660,'报价表-配送'!$B$91:$I$95,8,0)</f>
        <v>0</v>
      </c>
      <c r="J3660" s="125"/>
      <c r="K3660" s="125"/>
      <c r="L3660" s="121"/>
      <c r="M3660" s="126"/>
      <c r="N3660" s="127">
        <f t="shared" ref="N3660" si="292">SUM(I3660:L3660)</f>
        <v>0</v>
      </c>
    </row>
    <row r="3661" spans="1:14" x14ac:dyDescent="0.25">
      <c r="A3661" s="121" t="s">
        <v>125</v>
      </c>
      <c r="B3661" s="121" t="s">
        <v>128</v>
      </c>
      <c r="C3661" s="62">
        <f>VLOOKUP(B3661,合并仓明细!$D$2:$F$74,3,0)</f>
        <v>49</v>
      </c>
      <c r="D3661" s="122" t="s">
        <v>393</v>
      </c>
      <c r="E3661" s="123">
        <v>45972</v>
      </c>
      <c r="F3661" s="121" t="s">
        <v>66</v>
      </c>
      <c r="G3661" s="121">
        <v>369.36999999999995</v>
      </c>
      <c r="H3661" s="124"/>
      <c r="I3661" s="125"/>
      <c r="J3661" s="125"/>
      <c r="K3661" s="125"/>
      <c r="L3661" s="121"/>
      <c r="M3661" s="126"/>
      <c r="N3661" s="121"/>
    </row>
    <row r="3662" spans="1:14" x14ac:dyDescent="0.25">
      <c r="A3662" s="121" t="s">
        <v>125</v>
      </c>
      <c r="B3662" s="121" t="s">
        <v>128</v>
      </c>
      <c r="C3662" s="62">
        <f>VLOOKUP(B3662,合并仓明细!$D$2:$F$74,3,0)</f>
        <v>49</v>
      </c>
      <c r="D3662" s="122" t="s">
        <v>393</v>
      </c>
      <c r="E3662" s="123">
        <v>45974</v>
      </c>
      <c r="F3662" s="121" t="s">
        <v>66</v>
      </c>
      <c r="G3662" s="121">
        <v>471.90999998000001</v>
      </c>
      <c r="H3662" s="124">
        <v>0.47190999997999999</v>
      </c>
      <c r="I3662" s="125"/>
      <c r="J3662" s="125"/>
      <c r="K3662" s="125"/>
      <c r="L3662" s="37">
        <f>IF(H3662&gt;30,QUOTIENT(H3662,30)*VLOOKUP(D3662,'报价表-配送'!$B$91:$I$95,8,0),0)+IF(AND(MOD(H3662,30)&gt;18,MOD(H3662,30)&lt;=30),1,0)*VLOOKUP(D3662,'报价表-配送'!$B$91:$I$95,8,0)+IF(AND(MOD(H3662,30)&gt;8,MOD(H3662,30)&lt;=18),1*VLOOKUP(D3662,'报价表-配送'!$B$91:$I$95,7,0),0)+IF(AND(MOD(H3662,30)&lt;=8,MOD(H3662,30)&gt;2.5),1,0)*VLOOKUP(D3662,'报价表-配送'!$B$91:$I$95,6,0)+IF(AND(MOD(H3662,30)&lt;=2.5,MOD(H3662,30)&gt;=1.5),1,0)*VLOOKUP(D3662,'报价表-配送'!$B$91:$I$95,5,0)</f>
        <v>0</v>
      </c>
      <c r="M3662" s="39">
        <f>IF(AND(MOD(H3662,30)&lt;1.5,MOD(H3662,30)&gt;=0.5),H3662,0)*VLOOKUP(D3662,'报价表-配送'!$B$91:$I$95,4,0)*1000+IF(AND(MOD(H3662,30)&lt;0.5,MOD(H3662,30)&gt;=0.02),H3662,0)*VLOOKUP(D3662,'报价表-配送'!$B$91:$I$95,3,0)*1000+IF(AND(MOD(H3662,30)&lt;0.02),H3662,0)*VLOOKUP(D3662,'报价表-配送'!$B$91:$I$95,2,0)*1000</f>
        <v>0</v>
      </c>
      <c r="N3662" s="127">
        <f t="shared" ref="N3662:N3663" si="293">SUM(I3662:L3662)</f>
        <v>0</v>
      </c>
    </row>
    <row r="3663" spans="1:14" x14ac:dyDescent="0.25">
      <c r="A3663" s="121" t="s">
        <v>125</v>
      </c>
      <c r="B3663" s="121" t="s">
        <v>128</v>
      </c>
      <c r="C3663" s="62">
        <f>VLOOKUP(B3663,合并仓明细!$D$2:$F$74,3,0)</f>
        <v>49</v>
      </c>
      <c r="D3663" s="122" t="s">
        <v>393</v>
      </c>
      <c r="E3663" s="123">
        <v>45979</v>
      </c>
      <c r="F3663" s="121" t="s">
        <v>68</v>
      </c>
      <c r="G3663" s="121">
        <v>499.38564000000002</v>
      </c>
      <c r="H3663" s="124">
        <v>0.99817079864000002</v>
      </c>
      <c r="I3663" s="46">
        <f>ROUNDUP(H3663/30,0)*VLOOKUP(D3663,'报价表-配送'!$B$91:$I$95,8,0)</f>
        <v>0</v>
      </c>
      <c r="J3663" s="125"/>
      <c r="K3663" s="125"/>
      <c r="L3663" s="121"/>
      <c r="M3663" s="126"/>
      <c r="N3663" s="127">
        <f t="shared" si="293"/>
        <v>0</v>
      </c>
    </row>
    <row r="3664" spans="1:14" x14ac:dyDescent="0.25">
      <c r="A3664" s="121" t="s">
        <v>125</v>
      </c>
      <c r="B3664" s="121" t="s">
        <v>128</v>
      </c>
      <c r="C3664" s="62">
        <f>VLOOKUP(B3664,合并仓明细!$D$2:$F$74,3,0)</f>
        <v>49</v>
      </c>
      <c r="D3664" s="122" t="s">
        <v>393</v>
      </c>
      <c r="E3664" s="123">
        <v>45979</v>
      </c>
      <c r="F3664" s="121" t="s">
        <v>67</v>
      </c>
      <c r="G3664" s="121">
        <v>451.02349200000003</v>
      </c>
      <c r="H3664" s="124"/>
      <c r="I3664" s="125"/>
      <c r="J3664" s="125"/>
      <c r="K3664" s="125"/>
      <c r="L3664" s="121"/>
      <c r="M3664" s="126"/>
      <c r="N3664" s="121"/>
    </row>
    <row r="3665" spans="1:14" x14ac:dyDescent="0.25">
      <c r="A3665" s="121" t="s">
        <v>125</v>
      </c>
      <c r="B3665" s="121" t="s">
        <v>128</v>
      </c>
      <c r="C3665" s="62">
        <f>VLOOKUP(B3665,合并仓明细!$D$2:$F$74,3,0)</f>
        <v>49</v>
      </c>
      <c r="D3665" s="122" t="s">
        <v>393</v>
      </c>
      <c r="E3665" s="123">
        <v>45979</v>
      </c>
      <c r="F3665" s="121" t="s">
        <v>66</v>
      </c>
      <c r="G3665" s="121">
        <v>47.761666640000001</v>
      </c>
      <c r="H3665" s="124"/>
      <c r="I3665" s="125"/>
      <c r="J3665" s="125"/>
      <c r="K3665" s="125"/>
      <c r="L3665" s="121"/>
      <c r="M3665" s="126"/>
      <c r="N3665" s="121"/>
    </row>
    <row r="3666" spans="1:14" x14ac:dyDescent="0.25">
      <c r="A3666" s="121" t="s">
        <v>125</v>
      </c>
      <c r="B3666" s="121" t="s">
        <v>128</v>
      </c>
      <c r="C3666" s="62">
        <f>VLOOKUP(B3666,合并仓明细!$D$2:$F$74,3,0)</f>
        <v>49</v>
      </c>
      <c r="D3666" s="122" t="s">
        <v>393</v>
      </c>
      <c r="E3666" s="123">
        <v>45987</v>
      </c>
      <c r="F3666" s="121" t="s">
        <v>66</v>
      </c>
      <c r="G3666" s="121">
        <v>82.56958333</v>
      </c>
      <c r="H3666" s="124">
        <v>8.2569583330000001E-2</v>
      </c>
      <c r="I3666" s="125"/>
      <c r="J3666" s="125"/>
      <c r="K3666" s="125"/>
      <c r="L3666" s="37">
        <f>IF(H3666&gt;30,QUOTIENT(H3666,30)*VLOOKUP(D3666,'报价表-配送'!$B$91:$I$95,8,0),0)+IF(AND(MOD(H3666,30)&gt;18,MOD(H3666,30)&lt;=30),1,0)*VLOOKUP(D3666,'报价表-配送'!$B$91:$I$95,8,0)+IF(AND(MOD(H3666,30)&gt;8,MOD(H3666,30)&lt;=18),1*VLOOKUP(D3666,'报价表-配送'!$B$91:$I$95,7,0),0)+IF(AND(MOD(H3666,30)&lt;=8,MOD(H3666,30)&gt;2.5),1,0)*VLOOKUP(D3666,'报价表-配送'!$B$91:$I$95,6,0)+IF(AND(MOD(H3666,30)&lt;=2.5,MOD(H3666,30)&gt;=1.5),1,0)*VLOOKUP(D3666,'报价表-配送'!$B$91:$I$95,5,0)</f>
        <v>0</v>
      </c>
      <c r="M3666" s="39">
        <f>IF(AND(MOD(H3666,30)&lt;1.5,MOD(H3666,30)&gt;=0.5),H3666,0)*VLOOKUP(D3666,'报价表-配送'!$B$91:$I$95,4,0)*1000+IF(AND(MOD(H3666,30)&lt;0.5,MOD(H3666,30)&gt;=0.02),H3666,0)*VLOOKUP(D3666,'报价表-配送'!$B$91:$I$95,3,0)*1000+IF(AND(MOD(H3666,30)&lt;0.02),H3666,0)*VLOOKUP(D3666,'报价表-配送'!$B$91:$I$95,2,0)*1000</f>
        <v>0</v>
      </c>
      <c r="N3666" s="127">
        <f t="shared" ref="N3666:N3667" si="294">SUM(I3666:L3666)</f>
        <v>0</v>
      </c>
    </row>
    <row r="3667" spans="1:14" x14ac:dyDescent="0.25">
      <c r="A3667" s="121" t="s">
        <v>125</v>
      </c>
      <c r="B3667" s="121" t="s">
        <v>128</v>
      </c>
      <c r="C3667" s="62">
        <f>VLOOKUP(B3667,合并仓明细!$D$2:$F$74,3,0)</f>
        <v>49</v>
      </c>
      <c r="D3667" s="122" t="s">
        <v>393</v>
      </c>
      <c r="E3667" s="123">
        <v>45994</v>
      </c>
      <c r="F3667" s="121" t="s">
        <v>68</v>
      </c>
      <c r="G3667" s="121">
        <v>361.54</v>
      </c>
      <c r="H3667" s="124">
        <v>1.5947899999999999</v>
      </c>
      <c r="I3667" s="46">
        <f>ROUNDUP(H3667/30,0)*VLOOKUP(D3667,'报价表-配送'!$B$91:$I$95,8,0)</f>
        <v>0</v>
      </c>
      <c r="J3667" s="125"/>
      <c r="K3667" s="125"/>
      <c r="L3667" s="121"/>
      <c r="M3667" s="126"/>
      <c r="N3667" s="127">
        <f t="shared" si="294"/>
        <v>0</v>
      </c>
    </row>
    <row r="3668" spans="1:14" x14ac:dyDescent="0.25">
      <c r="A3668" s="121" t="s">
        <v>125</v>
      </c>
      <c r="B3668" s="121" t="s">
        <v>128</v>
      </c>
      <c r="C3668" s="62">
        <f>VLOOKUP(B3668,合并仓明细!$D$2:$F$74,3,0)</f>
        <v>49</v>
      </c>
      <c r="D3668" s="122" t="s">
        <v>393</v>
      </c>
      <c r="E3668" s="123">
        <v>45994</v>
      </c>
      <c r="F3668" s="121" t="s">
        <v>66</v>
      </c>
      <c r="G3668" s="121">
        <v>1233.25</v>
      </c>
      <c r="H3668" s="124"/>
      <c r="I3668" s="125"/>
      <c r="J3668" s="125"/>
      <c r="K3668" s="125"/>
      <c r="L3668" s="121"/>
      <c r="M3668" s="126"/>
      <c r="N3668" s="121"/>
    </row>
    <row r="3669" spans="1:14" x14ac:dyDescent="0.25">
      <c r="A3669" s="121" t="s">
        <v>125</v>
      </c>
      <c r="B3669" s="121" t="s">
        <v>128</v>
      </c>
      <c r="C3669" s="62">
        <f>VLOOKUP(B3669,合并仓明细!$D$2:$F$74,3,0)</f>
        <v>49</v>
      </c>
      <c r="D3669" s="122" t="s">
        <v>393</v>
      </c>
      <c r="E3669" s="123">
        <v>46007</v>
      </c>
      <c r="F3669" s="121" t="s">
        <v>67</v>
      </c>
      <c r="G3669" s="121">
        <v>4236.59</v>
      </c>
      <c r="H3669" s="124">
        <v>4.2853699999999995</v>
      </c>
      <c r="I3669" s="38">
        <f>IF(H3669&gt;30,QUOTIENT(H3669,30)*VLOOKUP(D3669,'报价表-配送'!$B$91:$I$95,8,0),0)+IF(AND(MOD(H3669,30)&gt;18,MOD(H3669,30)&lt;=30),1,0)*VLOOKUP(D3669,'报价表-配送'!$B$91:$I$95,8,0)</f>
        <v>0</v>
      </c>
      <c r="J3669" s="38">
        <f>IF(AND(MOD(H3669,30)&gt;8,MOD(H3669,30)&lt;=18),1*VLOOKUP(D3669,'报价表-配送'!$B$91:$I$95,7,0),0)</f>
        <v>0</v>
      </c>
      <c r="K3669" s="38">
        <f>IF(AND(MOD(H3669,30)&lt;=8,MOD(H3669,30)&gt;0),1,0)*VLOOKUP(D3669,'报价表-配送'!$B$91:$I$95,6,0)</f>
        <v>0</v>
      </c>
      <c r="L3669" s="121"/>
      <c r="M3669" s="126"/>
      <c r="N3669" s="127">
        <f t="shared" ref="N3669" si="295">SUM(I3669:L3669)</f>
        <v>0</v>
      </c>
    </row>
    <row r="3670" spans="1:14" x14ac:dyDescent="0.25">
      <c r="A3670" s="121" t="s">
        <v>125</v>
      </c>
      <c r="B3670" s="121" t="s">
        <v>128</v>
      </c>
      <c r="C3670" s="62">
        <f>VLOOKUP(B3670,合并仓明细!$D$2:$F$74,3,0)</f>
        <v>49</v>
      </c>
      <c r="D3670" s="122" t="s">
        <v>393</v>
      </c>
      <c r="E3670" s="123">
        <v>46007</v>
      </c>
      <c r="F3670" s="121" t="s">
        <v>66</v>
      </c>
      <c r="G3670" s="121">
        <v>48.78</v>
      </c>
      <c r="H3670" s="124"/>
      <c r="I3670" s="125"/>
      <c r="J3670" s="125"/>
      <c r="K3670" s="125"/>
      <c r="L3670" s="121"/>
      <c r="M3670" s="126"/>
      <c r="N3670" s="121"/>
    </row>
    <row r="3671" spans="1:14" x14ac:dyDescent="0.25">
      <c r="A3671" s="121" t="s">
        <v>125</v>
      </c>
      <c r="B3671" s="121" t="s">
        <v>128</v>
      </c>
      <c r="C3671" s="62">
        <f>VLOOKUP(B3671,合并仓明细!$D$2:$F$74,3,0)</f>
        <v>49</v>
      </c>
      <c r="D3671" s="122" t="s">
        <v>393</v>
      </c>
      <c r="E3671" s="123">
        <v>46014</v>
      </c>
      <c r="F3671" s="121" t="s">
        <v>68</v>
      </c>
      <c r="G3671" s="121">
        <v>603.63</v>
      </c>
      <c r="H3671" s="124">
        <v>1.5973999999999999</v>
      </c>
      <c r="I3671" s="46">
        <f>ROUNDUP(H3671/30,0)*VLOOKUP(D3671,'报价表-配送'!$B$91:$I$95,8,0)</f>
        <v>0</v>
      </c>
      <c r="J3671" s="125"/>
      <c r="K3671" s="125"/>
      <c r="L3671" s="121"/>
      <c r="M3671" s="126"/>
      <c r="N3671" s="127">
        <f t="shared" ref="N3671" si="296">SUM(I3671:L3671)</f>
        <v>0</v>
      </c>
    </row>
    <row r="3672" spans="1:14" x14ac:dyDescent="0.25">
      <c r="A3672" s="121" t="s">
        <v>125</v>
      </c>
      <c r="B3672" s="121" t="s">
        <v>128</v>
      </c>
      <c r="C3672" s="62">
        <f>VLOOKUP(B3672,合并仓明细!$D$2:$F$74,3,0)</f>
        <v>49</v>
      </c>
      <c r="D3672" s="122" t="s">
        <v>393</v>
      </c>
      <c r="E3672" s="123">
        <v>46014</v>
      </c>
      <c r="F3672" s="121" t="s">
        <v>67</v>
      </c>
      <c r="G3672" s="121">
        <v>562.24</v>
      </c>
      <c r="H3672" s="124"/>
      <c r="I3672" s="125"/>
      <c r="J3672" s="125"/>
      <c r="K3672" s="125"/>
      <c r="L3672" s="121"/>
      <c r="M3672" s="126"/>
      <c r="N3672" s="121"/>
    </row>
    <row r="3673" spans="1:14" x14ac:dyDescent="0.25">
      <c r="A3673" s="121" t="s">
        <v>125</v>
      </c>
      <c r="B3673" s="121" t="s">
        <v>128</v>
      </c>
      <c r="C3673" s="62">
        <f>VLOOKUP(B3673,合并仓明细!$D$2:$F$74,3,0)</f>
        <v>49</v>
      </c>
      <c r="D3673" s="122" t="s">
        <v>393</v>
      </c>
      <c r="E3673" s="123">
        <v>46014</v>
      </c>
      <c r="F3673" s="121" t="s">
        <v>66</v>
      </c>
      <c r="G3673" s="121">
        <v>431.53000000000003</v>
      </c>
      <c r="H3673" s="124"/>
      <c r="I3673" s="125"/>
      <c r="J3673" s="125"/>
      <c r="K3673" s="125"/>
      <c r="L3673" s="121"/>
      <c r="M3673" s="126"/>
      <c r="N3673" s="121"/>
    </row>
    <row r="3674" spans="1:14" x14ac:dyDescent="0.25">
      <c r="A3674" s="121" t="s">
        <v>125</v>
      </c>
      <c r="B3674" s="121" t="s">
        <v>128</v>
      </c>
      <c r="C3674" s="62">
        <f>VLOOKUP(B3674,合并仓明细!$D$2:$F$74,3,0)</f>
        <v>49</v>
      </c>
      <c r="D3674" s="122" t="s">
        <v>393</v>
      </c>
      <c r="E3674" s="123">
        <v>46020</v>
      </c>
      <c r="F3674" s="121" t="s">
        <v>68</v>
      </c>
      <c r="G3674" s="121">
        <v>590.76</v>
      </c>
      <c r="H3674" s="124">
        <v>1.49519</v>
      </c>
      <c r="I3674" s="46">
        <f>ROUNDUP(H3674/30,0)*VLOOKUP(D3674,'报价表-配送'!$B$91:$I$95,8,0)</f>
        <v>0</v>
      </c>
      <c r="J3674" s="125"/>
      <c r="K3674" s="125"/>
      <c r="L3674" s="121"/>
      <c r="M3674" s="126"/>
      <c r="N3674" s="127">
        <f t="shared" ref="N3674" si="297">SUM(I3674:L3674)</f>
        <v>0</v>
      </c>
    </row>
    <row r="3675" spans="1:14" x14ac:dyDescent="0.25">
      <c r="A3675" s="121" t="s">
        <v>125</v>
      </c>
      <c r="B3675" s="121" t="s">
        <v>128</v>
      </c>
      <c r="C3675" s="62">
        <f>VLOOKUP(B3675,合并仓明细!$D$2:$F$74,3,0)</f>
        <v>49</v>
      </c>
      <c r="D3675" s="122" t="s">
        <v>393</v>
      </c>
      <c r="E3675" s="123">
        <v>46020</v>
      </c>
      <c r="F3675" s="121" t="s">
        <v>67</v>
      </c>
      <c r="G3675" s="121">
        <v>896.7</v>
      </c>
      <c r="H3675" s="124"/>
      <c r="I3675" s="125"/>
      <c r="J3675" s="125"/>
      <c r="K3675" s="125"/>
      <c r="L3675" s="121"/>
      <c r="M3675" s="126"/>
      <c r="N3675" s="121"/>
    </row>
    <row r="3676" spans="1:14" x14ac:dyDescent="0.25">
      <c r="A3676" s="121" t="s">
        <v>125</v>
      </c>
      <c r="B3676" s="121" t="s">
        <v>128</v>
      </c>
      <c r="C3676" s="62">
        <f>VLOOKUP(B3676,合并仓明细!$D$2:$F$74,3,0)</f>
        <v>49</v>
      </c>
      <c r="D3676" s="122" t="s">
        <v>393</v>
      </c>
      <c r="E3676" s="123">
        <v>46020</v>
      </c>
      <c r="F3676" s="121" t="s">
        <v>66</v>
      </c>
      <c r="G3676" s="121">
        <v>7.73</v>
      </c>
      <c r="H3676" s="124"/>
      <c r="I3676" s="125"/>
      <c r="J3676" s="125"/>
      <c r="K3676" s="125"/>
      <c r="L3676" s="121"/>
      <c r="M3676" s="126"/>
      <c r="N3676" s="121"/>
    </row>
    <row r="3677" spans="1:14" x14ac:dyDescent="0.25">
      <c r="A3677" s="121" t="s">
        <v>125</v>
      </c>
      <c r="B3677" s="121" t="s">
        <v>128</v>
      </c>
      <c r="C3677" s="62">
        <f>VLOOKUP(B3677,合并仓明细!$D$2:$F$74,3,0)</f>
        <v>49</v>
      </c>
      <c r="D3677" s="122" t="s">
        <v>393</v>
      </c>
      <c r="E3677" s="123">
        <v>46028</v>
      </c>
      <c r="F3677" s="121" t="s">
        <v>66</v>
      </c>
      <c r="G3677" s="121">
        <v>421.93928561000007</v>
      </c>
      <c r="H3677" s="124">
        <v>0.42193928561000005</v>
      </c>
      <c r="I3677" s="125"/>
      <c r="J3677" s="125"/>
      <c r="K3677" s="125"/>
      <c r="L3677" s="37">
        <f>IF(H3677&gt;30,QUOTIENT(H3677,30)*VLOOKUP(D3677,'报价表-配送'!$B$91:$I$95,8,0),0)+IF(AND(MOD(H3677,30)&gt;18,MOD(H3677,30)&lt;=30),1,0)*VLOOKUP(D3677,'报价表-配送'!$B$91:$I$95,8,0)+IF(AND(MOD(H3677,30)&gt;8,MOD(H3677,30)&lt;=18),1*VLOOKUP(D3677,'报价表-配送'!$B$91:$I$95,7,0),0)+IF(AND(MOD(H3677,30)&lt;=8,MOD(H3677,30)&gt;2.5),1,0)*VLOOKUP(D3677,'报价表-配送'!$B$91:$I$95,6,0)+IF(AND(MOD(H3677,30)&lt;=2.5,MOD(H3677,30)&gt;=1.5),1,0)*VLOOKUP(D3677,'报价表-配送'!$B$91:$I$95,5,0)</f>
        <v>0</v>
      </c>
      <c r="M3677" s="39">
        <f>IF(AND(MOD(H3677,30)&lt;1.5,MOD(H3677,30)&gt;=0.5),H3677,0)*VLOOKUP(D3677,'报价表-配送'!$B$91:$I$95,4,0)*1000+IF(AND(MOD(H3677,30)&lt;0.5,MOD(H3677,30)&gt;=0.02),H3677,0)*VLOOKUP(D3677,'报价表-配送'!$B$91:$I$95,3,0)*1000+IF(AND(MOD(H3677,30)&lt;0.02),H3677,0)*VLOOKUP(D3677,'报价表-配送'!$B$91:$I$95,2,0)*1000</f>
        <v>0</v>
      </c>
      <c r="N3677" s="127">
        <f t="shared" ref="N3677:N3681" si="298">SUM(I3677:L3677)</f>
        <v>0</v>
      </c>
    </row>
    <row r="3678" spans="1:14" x14ac:dyDescent="0.25">
      <c r="A3678" s="121" t="s">
        <v>125</v>
      </c>
      <c r="B3678" s="121" t="s">
        <v>128</v>
      </c>
      <c r="C3678" s="62">
        <f>VLOOKUP(B3678,合并仓明细!$D$2:$F$74,3,0)</f>
        <v>49</v>
      </c>
      <c r="D3678" s="122" t="s">
        <v>393</v>
      </c>
      <c r="E3678" s="123">
        <v>46037</v>
      </c>
      <c r="F3678" s="121" t="s">
        <v>66</v>
      </c>
      <c r="G3678" s="121">
        <v>409.02249999999992</v>
      </c>
      <c r="H3678" s="124">
        <v>0.4090224999999999</v>
      </c>
      <c r="I3678" s="125"/>
      <c r="J3678" s="125"/>
      <c r="K3678" s="125"/>
      <c r="L3678" s="37">
        <f>IF(H3678&gt;30,QUOTIENT(H3678,30)*VLOOKUP(D3678,'报价表-配送'!$B$91:$I$95,8,0),0)+IF(AND(MOD(H3678,30)&gt;18,MOD(H3678,30)&lt;=30),1,0)*VLOOKUP(D3678,'报价表-配送'!$B$91:$I$95,8,0)+IF(AND(MOD(H3678,30)&gt;8,MOD(H3678,30)&lt;=18),1*VLOOKUP(D3678,'报价表-配送'!$B$91:$I$95,7,0),0)+IF(AND(MOD(H3678,30)&lt;=8,MOD(H3678,30)&gt;2.5),1,0)*VLOOKUP(D3678,'报价表-配送'!$B$91:$I$95,6,0)+IF(AND(MOD(H3678,30)&lt;=2.5,MOD(H3678,30)&gt;=1.5),1,0)*VLOOKUP(D3678,'报价表-配送'!$B$91:$I$95,5,0)</f>
        <v>0</v>
      </c>
      <c r="M3678" s="39">
        <f>IF(AND(MOD(H3678,30)&lt;1.5,MOD(H3678,30)&gt;=0.5),H3678,0)*VLOOKUP(D3678,'报价表-配送'!$B$91:$I$95,4,0)*1000+IF(AND(MOD(H3678,30)&lt;0.5,MOD(H3678,30)&gt;=0.02),H3678,0)*VLOOKUP(D3678,'报价表-配送'!$B$91:$I$95,3,0)*1000+IF(AND(MOD(H3678,30)&lt;0.02),H3678,0)*VLOOKUP(D3678,'报价表-配送'!$B$91:$I$95,2,0)*1000</f>
        <v>0</v>
      </c>
      <c r="N3678" s="127">
        <f t="shared" si="298"/>
        <v>0</v>
      </c>
    </row>
    <row r="3679" spans="1:14" x14ac:dyDescent="0.25">
      <c r="A3679" s="121" t="s">
        <v>125</v>
      </c>
      <c r="B3679" s="121" t="s">
        <v>128</v>
      </c>
      <c r="C3679" s="62">
        <f>VLOOKUP(B3679,合并仓明细!$D$2:$F$74,3,0)</f>
        <v>49</v>
      </c>
      <c r="D3679" s="122" t="s">
        <v>393</v>
      </c>
      <c r="E3679" s="123">
        <v>46043</v>
      </c>
      <c r="F3679" s="121" t="s">
        <v>66</v>
      </c>
      <c r="G3679" s="121">
        <v>294.39500002</v>
      </c>
      <c r="H3679" s="124">
        <v>0.29439500002000002</v>
      </c>
      <c r="I3679" s="125"/>
      <c r="J3679" s="125"/>
      <c r="K3679" s="125"/>
      <c r="L3679" s="37">
        <f>IF(H3679&gt;30,QUOTIENT(H3679,30)*VLOOKUP(D3679,'报价表-配送'!$B$91:$I$95,8,0),0)+IF(AND(MOD(H3679,30)&gt;18,MOD(H3679,30)&lt;=30),1,0)*VLOOKUP(D3679,'报价表-配送'!$B$91:$I$95,8,0)+IF(AND(MOD(H3679,30)&gt;8,MOD(H3679,30)&lt;=18),1*VLOOKUP(D3679,'报价表-配送'!$B$91:$I$95,7,0),0)+IF(AND(MOD(H3679,30)&lt;=8,MOD(H3679,30)&gt;2.5),1,0)*VLOOKUP(D3679,'报价表-配送'!$B$91:$I$95,6,0)+IF(AND(MOD(H3679,30)&lt;=2.5,MOD(H3679,30)&gt;=1.5),1,0)*VLOOKUP(D3679,'报价表-配送'!$B$91:$I$95,5,0)</f>
        <v>0</v>
      </c>
      <c r="M3679" s="39">
        <f>IF(AND(MOD(H3679,30)&lt;1.5,MOD(H3679,30)&gt;=0.5),H3679,0)*VLOOKUP(D3679,'报价表-配送'!$B$91:$I$95,4,0)*1000+IF(AND(MOD(H3679,30)&lt;0.5,MOD(H3679,30)&gt;=0.02),H3679,0)*VLOOKUP(D3679,'报价表-配送'!$B$91:$I$95,3,0)*1000+IF(AND(MOD(H3679,30)&lt;0.02),H3679,0)*VLOOKUP(D3679,'报价表-配送'!$B$91:$I$95,2,0)*1000</f>
        <v>0</v>
      </c>
      <c r="N3679" s="127">
        <f t="shared" si="298"/>
        <v>0</v>
      </c>
    </row>
    <row r="3680" spans="1:14" x14ac:dyDescent="0.25">
      <c r="A3680" s="121" t="s">
        <v>125</v>
      </c>
      <c r="B3680" s="121" t="s">
        <v>128</v>
      </c>
      <c r="C3680" s="62">
        <f>VLOOKUP(B3680,合并仓明细!$D$2:$F$74,3,0)</f>
        <v>49</v>
      </c>
      <c r="D3680" s="122" t="s">
        <v>393</v>
      </c>
      <c r="E3680" s="123">
        <v>46050</v>
      </c>
      <c r="F3680" s="121" t="s">
        <v>66</v>
      </c>
      <c r="G3680" s="121">
        <v>159.35</v>
      </c>
      <c r="H3680" s="124">
        <v>0.15934999999999999</v>
      </c>
      <c r="I3680" s="125"/>
      <c r="J3680" s="125"/>
      <c r="K3680" s="125"/>
      <c r="L3680" s="37">
        <f>IF(H3680&gt;30,QUOTIENT(H3680,30)*VLOOKUP(D3680,'报价表-配送'!$B$91:$I$95,8,0),0)+IF(AND(MOD(H3680,30)&gt;18,MOD(H3680,30)&lt;=30),1,0)*VLOOKUP(D3680,'报价表-配送'!$B$91:$I$95,8,0)+IF(AND(MOD(H3680,30)&gt;8,MOD(H3680,30)&lt;=18),1*VLOOKUP(D3680,'报价表-配送'!$B$91:$I$95,7,0),0)+IF(AND(MOD(H3680,30)&lt;=8,MOD(H3680,30)&gt;2.5),1,0)*VLOOKUP(D3680,'报价表-配送'!$B$91:$I$95,6,0)+IF(AND(MOD(H3680,30)&lt;=2.5,MOD(H3680,30)&gt;=1.5),1,0)*VLOOKUP(D3680,'报价表-配送'!$B$91:$I$95,5,0)</f>
        <v>0</v>
      </c>
      <c r="M3680" s="39">
        <f>IF(AND(MOD(H3680,30)&lt;1.5,MOD(H3680,30)&gt;=0.5),H3680,0)*VLOOKUP(D3680,'报价表-配送'!$B$91:$I$95,4,0)*1000+IF(AND(MOD(H3680,30)&lt;0.5,MOD(H3680,30)&gt;=0.02),H3680,0)*VLOOKUP(D3680,'报价表-配送'!$B$91:$I$95,3,0)*1000+IF(AND(MOD(H3680,30)&lt;0.02),H3680,0)*VLOOKUP(D3680,'报价表-配送'!$B$91:$I$95,2,0)*1000</f>
        <v>0</v>
      </c>
      <c r="N3680" s="127">
        <f t="shared" si="298"/>
        <v>0</v>
      </c>
    </row>
    <row r="3681" spans="1:14" x14ac:dyDescent="0.25">
      <c r="A3681" s="121" t="s">
        <v>125</v>
      </c>
      <c r="B3681" s="121" t="s">
        <v>128</v>
      </c>
      <c r="C3681" s="62">
        <f>VLOOKUP(B3681,合并仓明细!$D$2:$F$74,3,0)</f>
        <v>49</v>
      </c>
      <c r="D3681" s="122" t="s">
        <v>393</v>
      </c>
      <c r="E3681" s="123">
        <v>46057</v>
      </c>
      <c r="F3681" s="121" t="s">
        <v>68</v>
      </c>
      <c r="G3681" s="121">
        <v>1981.9858800000002</v>
      </c>
      <c r="H3681" s="124">
        <v>6.2390559867299995</v>
      </c>
      <c r="I3681" s="46">
        <f>ROUNDUP(H3681/30,0)*VLOOKUP(D3681,'报价表-配送'!$B$91:$I$95,8,0)</f>
        <v>0</v>
      </c>
      <c r="J3681" s="125"/>
      <c r="K3681" s="125"/>
      <c r="L3681" s="121"/>
      <c r="M3681" s="126"/>
      <c r="N3681" s="127">
        <f t="shared" si="298"/>
        <v>0</v>
      </c>
    </row>
    <row r="3682" spans="1:14" x14ac:dyDescent="0.25">
      <c r="A3682" s="121" t="s">
        <v>125</v>
      </c>
      <c r="B3682" s="121" t="s">
        <v>128</v>
      </c>
      <c r="C3682" s="62">
        <f>VLOOKUP(B3682,合并仓明细!$D$2:$F$74,3,0)</f>
        <v>49</v>
      </c>
      <c r="D3682" s="122" t="s">
        <v>393</v>
      </c>
      <c r="E3682" s="123">
        <v>46057</v>
      </c>
      <c r="F3682" s="121" t="s">
        <v>67</v>
      </c>
      <c r="G3682" s="121">
        <v>866.39177339999992</v>
      </c>
      <c r="H3682" s="124"/>
      <c r="I3682" s="125"/>
      <c r="J3682" s="125"/>
      <c r="K3682" s="125"/>
      <c r="L3682" s="121"/>
      <c r="M3682" s="126"/>
      <c r="N3682" s="121"/>
    </row>
    <row r="3683" spans="1:14" x14ac:dyDescent="0.25">
      <c r="A3683" s="121" t="s">
        <v>125</v>
      </c>
      <c r="B3683" s="121" t="s">
        <v>128</v>
      </c>
      <c r="C3683" s="62">
        <f>VLOOKUP(B3683,合并仓明细!$D$2:$F$74,3,0)</f>
        <v>49</v>
      </c>
      <c r="D3683" s="122" t="s">
        <v>393</v>
      </c>
      <c r="E3683" s="123">
        <v>46057</v>
      </c>
      <c r="F3683" s="121" t="s">
        <v>66</v>
      </c>
      <c r="G3683" s="121">
        <v>3390.6783333299995</v>
      </c>
      <c r="H3683" s="124"/>
      <c r="I3683" s="125"/>
      <c r="J3683" s="125"/>
      <c r="K3683" s="125"/>
      <c r="L3683" s="121"/>
      <c r="M3683" s="126"/>
      <c r="N3683" s="121"/>
    </row>
    <row r="3684" spans="1:14" x14ac:dyDescent="0.25">
      <c r="A3684" s="121" t="s">
        <v>125</v>
      </c>
      <c r="B3684" s="121" t="s">
        <v>128</v>
      </c>
      <c r="C3684" s="62">
        <f>VLOOKUP(B3684,合并仓明细!$D$2:$F$74,3,0)</f>
        <v>49</v>
      </c>
      <c r="D3684" s="122" t="s">
        <v>393</v>
      </c>
      <c r="E3684" s="123">
        <v>46084</v>
      </c>
      <c r="F3684" s="121" t="s">
        <v>66</v>
      </c>
      <c r="G3684" s="121">
        <v>245.68</v>
      </c>
      <c r="H3684" s="124">
        <v>0.24568000000000001</v>
      </c>
      <c r="I3684" s="125"/>
      <c r="J3684" s="125"/>
      <c r="K3684" s="125"/>
      <c r="L3684" s="37">
        <f>IF(H3684&gt;30,QUOTIENT(H3684,30)*VLOOKUP(D3684,'报价表-配送'!$B$91:$I$95,8,0),0)+IF(AND(MOD(H3684,30)&gt;18,MOD(H3684,30)&lt;=30),1,0)*VLOOKUP(D3684,'报价表-配送'!$B$91:$I$95,8,0)+IF(AND(MOD(H3684,30)&gt;8,MOD(H3684,30)&lt;=18),1*VLOOKUP(D3684,'报价表-配送'!$B$91:$I$95,7,0),0)+IF(AND(MOD(H3684,30)&lt;=8,MOD(H3684,30)&gt;2.5),1,0)*VLOOKUP(D3684,'报价表-配送'!$B$91:$I$95,6,0)+IF(AND(MOD(H3684,30)&lt;=2.5,MOD(H3684,30)&gt;=1.5),1,0)*VLOOKUP(D3684,'报价表-配送'!$B$91:$I$95,5,0)</f>
        <v>0</v>
      </c>
      <c r="M3684" s="39">
        <f>IF(AND(MOD(H3684,30)&lt;1.5,MOD(H3684,30)&gt;=0.5),H3684,0)*VLOOKUP(D3684,'报价表-配送'!$B$91:$I$95,4,0)*1000+IF(AND(MOD(H3684,30)&lt;0.5,MOD(H3684,30)&gt;=0.02),H3684,0)*VLOOKUP(D3684,'报价表-配送'!$B$91:$I$95,3,0)*1000+IF(AND(MOD(H3684,30)&lt;0.02),H3684,0)*VLOOKUP(D3684,'报价表-配送'!$B$91:$I$95,2,0)*1000</f>
        <v>0</v>
      </c>
      <c r="N3684" s="127">
        <f t="shared" ref="N3684:N3685" si="299">SUM(I3684:L3684)</f>
        <v>0</v>
      </c>
    </row>
    <row r="3685" spans="1:14" x14ac:dyDescent="0.25">
      <c r="A3685" s="121" t="s">
        <v>125</v>
      </c>
      <c r="B3685" s="121" t="s">
        <v>128</v>
      </c>
      <c r="C3685" s="62">
        <f>VLOOKUP(B3685,合并仓明细!$D$2:$F$74,3,0)</f>
        <v>49</v>
      </c>
      <c r="D3685" s="122" t="s">
        <v>393</v>
      </c>
      <c r="E3685" s="123">
        <v>46097</v>
      </c>
      <c r="F3685" s="121" t="s">
        <v>68</v>
      </c>
      <c r="G3685" s="121">
        <v>474.98400000000004</v>
      </c>
      <c r="H3685" s="124">
        <v>0.61629233324999999</v>
      </c>
      <c r="I3685" s="46">
        <f>ROUNDUP(H3685/30,0)*VLOOKUP(D3685,'报价表-配送'!$B$91:$I$95,8,0)</f>
        <v>0</v>
      </c>
      <c r="J3685" s="125"/>
      <c r="K3685" s="125"/>
      <c r="L3685" s="121"/>
      <c r="M3685" s="126"/>
      <c r="N3685" s="127">
        <f t="shared" si="299"/>
        <v>0</v>
      </c>
    </row>
    <row r="3686" spans="1:14" x14ac:dyDescent="0.25">
      <c r="A3686" s="121" t="s">
        <v>125</v>
      </c>
      <c r="B3686" s="121" t="s">
        <v>128</v>
      </c>
      <c r="C3686" s="62">
        <f>VLOOKUP(B3686,合并仓明细!$D$2:$F$74,3,0)</f>
        <v>49</v>
      </c>
      <c r="D3686" s="122" t="s">
        <v>393</v>
      </c>
      <c r="E3686" s="123">
        <v>46097</v>
      </c>
      <c r="F3686" s="121" t="s">
        <v>66</v>
      </c>
      <c r="G3686" s="121">
        <v>141.30833324999998</v>
      </c>
      <c r="H3686" s="124"/>
      <c r="I3686" s="125"/>
      <c r="J3686" s="125"/>
      <c r="K3686" s="125"/>
      <c r="L3686" s="121"/>
      <c r="M3686" s="126"/>
      <c r="N3686" s="121"/>
    </row>
    <row r="3687" spans="1:14" x14ac:dyDescent="0.25">
      <c r="A3687" s="121" t="s">
        <v>125</v>
      </c>
      <c r="B3687" s="121" t="s">
        <v>128</v>
      </c>
      <c r="C3687" s="62">
        <f>VLOOKUP(B3687,合并仓明细!$D$2:$F$74,3,0)</f>
        <v>49</v>
      </c>
      <c r="D3687" s="122" t="s">
        <v>393</v>
      </c>
      <c r="E3687" s="123">
        <v>46104</v>
      </c>
      <c r="F3687" s="121" t="s">
        <v>66</v>
      </c>
      <c r="G3687" s="121">
        <v>34.043999999999997</v>
      </c>
      <c r="H3687" s="124">
        <v>3.4043999999999998E-2</v>
      </c>
      <c r="I3687" s="125"/>
      <c r="J3687" s="125"/>
      <c r="K3687" s="125"/>
      <c r="L3687" s="37">
        <f>IF(H3687&gt;30,QUOTIENT(H3687,30)*VLOOKUP(D3687,'报价表-配送'!$B$91:$I$95,8,0),0)+IF(AND(MOD(H3687,30)&gt;18,MOD(H3687,30)&lt;=30),1,0)*VLOOKUP(D3687,'报价表-配送'!$B$91:$I$95,8,0)+IF(AND(MOD(H3687,30)&gt;8,MOD(H3687,30)&lt;=18),1*VLOOKUP(D3687,'报价表-配送'!$B$91:$I$95,7,0),0)+IF(AND(MOD(H3687,30)&lt;=8,MOD(H3687,30)&gt;2.5),1,0)*VLOOKUP(D3687,'报价表-配送'!$B$91:$I$95,6,0)+IF(AND(MOD(H3687,30)&lt;=2.5,MOD(H3687,30)&gt;=1.5),1,0)*VLOOKUP(D3687,'报价表-配送'!$B$91:$I$95,5,0)</f>
        <v>0</v>
      </c>
      <c r="M3687" s="39">
        <f>IF(AND(MOD(H3687,30)&lt;1.5,MOD(H3687,30)&gt;=0.5),H3687,0)*VLOOKUP(D3687,'报价表-配送'!$B$91:$I$95,4,0)*1000+IF(AND(MOD(H3687,30)&lt;0.5,MOD(H3687,30)&gt;=0.02),H3687,0)*VLOOKUP(D3687,'报价表-配送'!$B$91:$I$95,3,0)*1000+IF(AND(MOD(H3687,30)&lt;0.02),H3687,0)*VLOOKUP(D3687,'报价表-配送'!$B$91:$I$95,2,0)*1000</f>
        <v>0</v>
      </c>
      <c r="N3687" s="127">
        <f t="shared" ref="N3687:N3691" si="300">SUM(I3687:L3687)</f>
        <v>0</v>
      </c>
    </row>
    <row r="3688" spans="1:14" x14ac:dyDescent="0.25">
      <c r="A3688" s="121" t="s">
        <v>125</v>
      </c>
      <c r="B3688" s="121" t="s">
        <v>129</v>
      </c>
      <c r="C3688" s="62">
        <f>VLOOKUP(B3688,合并仓明细!$D$2:$F$74,3,0)</f>
        <v>68</v>
      </c>
      <c r="D3688" s="122" t="s">
        <v>393</v>
      </c>
      <c r="E3688" s="123">
        <v>45943</v>
      </c>
      <c r="F3688" s="121" t="s">
        <v>66</v>
      </c>
      <c r="G3688" s="121">
        <v>32.449999999999996</v>
      </c>
      <c r="H3688" s="124">
        <v>3.2449999999999993E-2</v>
      </c>
      <c r="I3688" s="125"/>
      <c r="J3688" s="125"/>
      <c r="K3688" s="125"/>
      <c r="L3688" s="37">
        <f>IF(H3688&gt;30,QUOTIENT(H3688,30)*VLOOKUP(D3688,'报价表-配送'!$B$91:$I$95,8,0),0)+IF(AND(MOD(H3688,30)&gt;18,MOD(H3688,30)&lt;=30),1,0)*VLOOKUP(D3688,'报价表-配送'!$B$91:$I$95,8,0)+IF(AND(MOD(H3688,30)&gt;8,MOD(H3688,30)&lt;=18),1*VLOOKUP(D3688,'报价表-配送'!$B$91:$I$95,7,0),0)+IF(AND(MOD(H3688,30)&lt;=8,MOD(H3688,30)&gt;2.5),1,0)*VLOOKUP(D3688,'报价表-配送'!$B$91:$I$95,6,0)+IF(AND(MOD(H3688,30)&lt;=2.5,MOD(H3688,30)&gt;=1.5),1,0)*VLOOKUP(D3688,'报价表-配送'!$B$91:$I$95,5,0)</f>
        <v>0</v>
      </c>
      <c r="M3688" s="39">
        <f>IF(AND(MOD(H3688,30)&lt;1.5,MOD(H3688,30)&gt;=0.5),H3688,0)*VLOOKUP(D3688,'报价表-配送'!$B$91:$I$95,4,0)*1000+IF(AND(MOD(H3688,30)&lt;0.5,MOD(H3688,30)&gt;=0.02),H3688,0)*VLOOKUP(D3688,'报价表-配送'!$B$91:$I$95,3,0)*1000+IF(AND(MOD(H3688,30)&lt;0.02),H3688,0)*VLOOKUP(D3688,'报价表-配送'!$B$91:$I$95,2,0)*1000</f>
        <v>0</v>
      </c>
      <c r="N3688" s="127">
        <f t="shared" si="300"/>
        <v>0</v>
      </c>
    </row>
    <row r="3689" spans="1:14" x14ac:dyDescent="0.25">
      <c r="A3689" s="121" t="s">
        <v>125</v>
      </c>
      <c r="B3689" s="121" t="s">
        <v>129</v>
      </c>
      <c r="C3689" s="62">
        <f>VLOOKUP(B3689,合并仓明细!$D$2:$F$74,3,0)</f>
        <v>68</v>
      </c>
      <c r="D3689" s="122" t="s">
        <v>393</v>
      </c>
      <c r="E3689" s="123">
        <v>45973</v>
      </c>
      <c r="F3689" s="121" t="s">
        <v>66</v>
      </c>
      <c r="G3689" s="121">
        <v>50</v>
      </c>
      <c r="H3689" s="124">
        <v>0.05</v>
      </c>
      <c r="I3689" s="125"/>
      <c r="J3689" s="125"/>
      <c r="K3689" s="125"/>
      <c r="L3689" s="37">
        <f>IF(H3689&gt;30,QUOTIENT(H3689,30)*VLOOKUP(D3689,'报价表-配送'!$B$91:$I$95,8,0),0)+IF(AND(MOD(H3689,30)&gt;18,MOD(H3689,30)&lt;=30),1,0)*VLOOKUP(D3689,'报价表-配送'!$B$91:$I$95,8,0)+IF(AND(MOD(H3689,30)&gt;8,MOD(H3689,30)&lt;=18),1*VLOOKUP(D3689,'报价表-配送'!$B$91:$I$95,7,0),0)+IF(AND(MOD(H3689,30)&lt;=8,MOD(H3689,30)&gt;2.5),1,0)*VLOOKUP(D3689,'报价表-配送'!$B$91:$I$95,6,0)+IF(AND(MOD(H3689,30)&lt;=2.5,MOD(H3689,30)&gt;=1.5),1,0)*VLOOKUP(D3689,'报价表-配送'!$B$91:$I$95,5,0)</f>
        <v>0</v>
      </c>
      <c r="M3689" s="39">
        <f>IF(AND(MOD(H3689,30)&lt;1.5,MOD(H3689,30)&gt;=0.5),H3689,0)*VLOOKUP(D3689,'报价表-配送'!$B$91:$I$95,4,0)*1000+IF(AND(MOD(H3689,30)&lt;0.5,MOD(H3689,30)&gt;=0.02),H3689,0)*VLOOKUP(D3689,'报价表-配送'!$B$91:$I$95,3,0)*1000+IF(AND(MOD(H3689,30)&lt;0.02),H3689,0)*VLOOKUP(D3689,'报价表-配送'!$B$91:$I$95,2,0)*1000</f>
        <v>0</v>
      </c>
      <c r="N3689" s="127">
        <f t="shared" si="300"/>
        <v>0</v>
      </c>
    </row>
    <row r="3690" spans="1:14" x14ac:dyDescent="0.25">
      <c r="A3690" s="121" t="s">
        <v>125</v>
      </c>
      <c r="B3690" s="121" t="s">
        <v>129</v>
      </c>
      <c r="C3690" s="62">
        <f>VLOOKUP(B3690,合并仓明细!$D$2:$F$74,3,0)</f>
        <v>68</v>
      </c>
      <c r="D3690" s="122" t="s">
        <v>393</v>
      </c>
      <c r="E3690" s="123">
        <v>45987</v>
      </c>
      <c r="F3690" s="121" t="s">
        <v>66</v>
      </c>
      <c r="G3690" s="121">
        <v>79.305000000000007</v>
      </c>
      <c r="H3690" s="124">
        <v>7.9305E-2</v>
      </c>
      <c r="I3690" s="125"/>
      <c r="J3690" s="125"/>
      <c r="K3690" s="125"/>
      <c r="L3690" s="37">
        <f>IF(H3690&gt;30,QUOTIENT(H3690,30)*VLOOKUP(D3690,'报价表-配送'!$B$91:$I$95,8,0),0)+IF(AND(MOD(H3690,30)&gt;18,MOD(H3690,30)&lt;=30),1,0)*VLOOKUP(D3690,'报价表-配送'!$B$91:$I$95,8,0)+IF(AND(MOD(H3690,30)&gt;8,MOD(H3690,30)&lt;=18),1*VLOOKUP(D3690,'报价表-配送'!$B$91:$I$95,7,0),0)+IF(AND(MOD(H3690,30)&lt;=8,MOD(H3690,30)&gt;2.5),1,0)*VLOOKUP(D3690,'报价表-配送'!$B$91:$I$95,6,0)+IF(AND(MOD(H3690,30)&lt;=2.5,MOD(H3690,30)&gt;=1.5),1,0)*VLOOKUP(D3690,'报价表-配送'!$B$91:$I$95,5,0)</f>
        <v>0</v>
      </c>
      <c r="M3690" s="39">
        <f>IF(AND(MOD(H3690,30)&lt;1.5,MOD(H3690,30)&gt;=0.5),H3690,0)*VLOOKUP(D3690,'报价表-配送'!$B$91:$I$95,4,0)*1000+IF(AND(MOD(H3690,30)&lt;0.5,MOD(H3690,30)&gt;=0.02),H3690,0)*VLOOKUP(D3690,'报价表-配送'!$B$91:$I$95,3,0)*1000+IF(AND(MOD(H3690,30)&lt;0.02),H3690,0)*VLOOKUP(D3690,'报价表-配送'!$B$91:$I$95,2,0)*1000</f>
        <v>0</v>
      </c>
      <c r="N3690" s="127">
        <f t="shared" si="300"/>
        <v>0</v>
      </c>
    </row>
    <row r="3691" spans="1:14" x14ac:dyDescent="0.25">
      <c r="A3691" s="121" t="s">
        <v>125</v>
      </c>
      <c r="B3691" s="121" t="s">
        <v>129</v>
      </c>
      <c r="C3691" s="62">
        <f>VLOOKUP(B3691,合并仓明细!$D$2:$F$74,3,0)</f>
        <v>68</v>
      </c>
      <c r="D3691" s="122" t="s">
        <v>393</v>
      </c>
      <c r="E3691" s="123">
        <v>45995</v>
      </c>
      <c r="F3691" s="121" t="s">
        <v>68</v>
      </c>
      <c r="G3691" s="121">
        <v>1256.83</v>
      </c>
      <c r="H3691" s="124">
        <v>21.891413333320006</v>
      </c>
      <c r="I3691" s="46">
        <f>ROUNDUP(H3691/30,0)*VLOOKUP(D3691,'报价表-配送'!$B$91:$I$95,8,0)</f>
        <v>0</v>
      </c>
      <c r="J3691" s="125"/>
      <c r="K3691" s="125"/>
      <c r="L3691" s="121"/>
      <c r="M3691" s="126"/>
      <c r="N3691" s="127">
        <f t="shared" si="300"/>
        <v>0</v>
      </c>
    </row>
    <row r="3692" spans="1:14" x14ac:dyDescent="0.25">
      <c r="A3692" s="121" t="s">
        <v>125</v>
      </c>
      <c r="B3692" s="121" t="s">
        <v>129</v>
      </c>
      <c r="C3692" s="62">
        <f>VLOOKUP(B3692,合并仓明细!$D$2:$F$74,3,0)</f>
        <v>68</v>
      </c>
      <c r="D3692" s="122" t="s">
        <v>393</v>
      </c>
      <c r="E3692" s="123">
        <v>45995</v>
      </c>
      <c r="F3692" s="121" t="s">
        <v>67</v>
      </c>
      <c r="G3692" s="121">
        <v>20181.920000000006</v>
      </c>
      <c r="H3692" s="124"/>
      <c r="I3692" s="125"/>
      <c r="J3692" s="125"/>
      <c r="K3692" s="125"/>
      <c r="L3692" s="121"/>
      <c r="M3692" s="126"/>
      <c r="N3692" s="121"/>
    </row>
    <row r="3693" spans="1:14" x14ac:dyDescent="0.25">
      <c r="A3693" s="121" t="s">
        <v>125</v>
      </c>
      <c r="B3693" s="121" t="s">
        <v>129</v>
      </c>
      <c r="C3693" s="62">
        <f>VLOOKUP(B3693,合并仓明细!$D$2:$F$74,3,0)</f>
        <v>68</v>
      </c>
      <c r="D3693" s="122" t="s">
        <v>393</v>
      </c>
      <c r="E3693" s="123">
        <v>45995</v>
      </c>
      <c r="F3693" s="121" t="s">
        <v>66</v>
      </c>
      <c r="G3693" s="121">
        <v>452.66333331999994</v>
      </c>
      <c r="H3693" s="124"/>
      <c r="I3693" s="125"/>
      <c r="J3693" s="125"/>
      <c r="K3693" s="125"/>
      <c r="L3693" s="121"/>
      <c r="M3693" s="126"/>
      <c r="N3693" s="121"/>
    </row>
    <row r="3694" spans="1:14" x14ac:dyDescent="0.25">
      <c r="A3694" s="121" t="s">
        <v>125</v>
      </c>
      <c r="B3694" s="121" t="s">
        <v>129</v>
      </c>
      <c r="C3694" s="62">
        <f>VLOOKUP(B3694,合并仓明细!$D$2:$F$74,3,0)</f>
        <v>68</v>
      </c>
      <c r="D3694" s="122" t="s">
        <v>393</v>
      </c>
      <c r="E3694" s="123">
        <v>46002</v>
      </c>
      <c r="F3694" s="121" t="s">
        <v>67</v>
      </c>
      <c r="G3694" s="121">
        <v>2279.94</v>
      </c>
      <c r="H3694" s="124">
        <v>2.3761199999999998</v>
      </c>
      <c r="I3694" s="38">
        <f>IF(H3694&gt;30,QUOTIENT(H3694,30)*VLOOKUP(D3694,'报价表-配送'!$B$91:$I$95,8,0),0)+IF(AND(MOD(H3694,30)&gt;18,MOD(H3694,30)&lt;=30),1,0)*VLOOKUP(D3694,'报价表-配送'!$B$91:$I$95,8,0)</f>
        <v>0</v>
      </c>
      <c r="J3694" s="38">
        <f>IF(AND(MOD(H3694,30)&gt;8,MOD(H3694,30)&lt;=18),1*VLOOKUP(D3694,'报价表-配送'!$B$91:$I$95,7,0),0)</f>
        <v>0</v>
      </c>
      <c r="K3694" s="38">
        <f>IF(AND(MOD(H3694,30)&lt;=8,MOD(H3694,30)&gt;0),1,0)*VLOOKUP(D3694,'报价表-配送'!$B$91:$I$95,6,0)</f>
        <v>0</v>
      </c>
      <c r="L3694" s="121"/>
      <c r="M3694" s="126"/>
      <c r="N3694" s="127">
        <f t="shared" ref="N3694" si="301">SUM(I3694:L3694)</f>
        <v>0</v>
      </c>
    </row>
    <row r="3695" spans="1:14" x14ac:dyDescent="0.25">
      <c r="A3695" s="121" t="s">
        <v>125</v>
      </c>
      <c r="B3695" s="121" t="s">
        <v>129</v>
      </c>
      <c r="C3695" s="62">
        <f>VLOOKUP(B3695,合并仓明细!$D$2:$F$74,3,0)</f>
        <v>68</v>
      </c>
      <c r="D3695" s="122" t="s">
        <v>393</v>
      </c>
      <c r="E3695" s="123">
        <v>46002</v>
      </c>
      <c r="F3695" s="121" t="s">
        <v>66</v>
      </c>
      <c r="G3695" s="121">
        <v>96.18</v>
      </c>
      <c r="H3695" s="124"/>
      <c r="I3695" s="125"/>
      <c r="J3695" s="125"/>
      <c r="K3695" s="125"/>
      <c r="L3695" s="121"/>
      <c r="M3695" s="126"/>
      <c r="N3695" s="121"/>
    </row>
    <row r="3696" spans="1:14" x14ac:dyDescent="0.25">
      <c r="A3696" s="121" t="s">
        <v>125</v>
      </c>
      <c r="B3696" s="121" t="s">
        <v>129</v>
      </c>
      <c r="C3696" s="62">
        <f>VLOOKUP(B3696,合并仓明细!$D$2:$F$74,3,0)</f>
        <v>68</v>
      </c>
      <c r="D3696" s="122" t="s">
        <v>393</v>
      </c>
      <c r="E3696" s="123">
        <v>46016</v>
      </c>
      <c r="F3696" s="121" t="s">
        <v>67</v>
      </c>
      <c r="G3696" s="121">
        <v>506.09000000000003</v>
      </c>
      <c r="H3696" s="124">
        <v>0.50609000000000004</v>
      </c>
      <c r="I3696" s="38">
        <f>IF(H3696&gt;30,QUOTIENT(H3696,30)*VLOOKUP(D3696,'报价表-配送'!$B$91:$I$95,8,0),0)+IF(AND(MOD(H3696,30)&gt;18,MOD(H3696,30)&lt;=30),1,0)*VLOOKUP(D3696,'报价表-配送'!$B$91:$I$95,8,0)</f>
        <v>0</v>
      </c>
      <c r="J3696" s="38">
        <f>IF(AND(MOD(H3696,30)&gt;8,MOD(H3696,30)&lt;=18),1*VLOOKUP(D3696,'报价表-配送'!$B$91:$I$95,7,0),0)</f>
        <v>0</v>
      </c>
      <c r="K3696" s="38">
        <f>IF(AND(MOD(H3696,30)&lt;=8,MOD(H3696,30)&gt;0),1,0)*VLOOKUP(D3696,'报价表-配送'!$B$91:$I$95,6,0)</f>
        <v>0</v>
      </c>
      <c r="L3696" s="121"/>
      <c r="M3696" s="126"/>
      <c r="N3696" s="127">
        <f t="shared" ref="N3696:N3698" si="302">SUM(I3696:L3696)</f>
        <v>0</v>
      </c>
    </row>
    <row r="3697" spans="1:14" x14ac:dyDescent="0.25">
      <c r="A3697" s="121" t="s">
        <v>125</v>
      </c>
      <c r="B3697" s="121" t="s">
        <v>129</v>
      </c>
      <c r="C3697" s="62">
        <f>VLOOKUP(B3697,合并仓明细!$D$2:$F$74,3,0)</f>
        <v>68</v>
      </c>
      <c r="D3697" s="122" t="s">
        <v>393</v>
      </c>
      <c r="E3697" s="123">
        <v>46028</v>
      </c>
      <c r="F3697" s="121" t="s">
        <v>66</v>
      </c>
      <c r="G3697" s="121">
        <v>33.200000000000003</v>
      </c>
      <c r="H3697" s="124">
        <v>3.32E-2</v>
      </c>
      <c r="I3697" s="125"/>
      <c r="J3697" s="125"/>
      <c r="K3697" s="125"/>
      <c r="L3697" s="37">
        <f>IF(H3697&gt;30,QUOTIENT(H3697,30)*VLOOKUP(D3697,'报价表-配送'!$B$91:$I$95,8,0),0)+IF(AND(MOD(H3697,30)&gt;18,MOD(H3697,30)&lt;=30),1,0)*VLOOKUP(D3697,'报价表-配送'!$B$91:$I$95,8,0)+IF(AND(MOD(H3697,30)&gt;8,MOD(H3697,30)&lt;=18),1*VLOOKUP(D3697,'报价表-配送'!$B$91:$I$95,7,0),0)+IF(AND(MOD(H3697,30)&lt;=8,MOD(H3697,30)&gt;2.5),1,0)*VLOOKUP(D3697,'报价表-配送'!$B$91:$I$95,6,0)+IF(AND(MOD(H3697,30)&lt;=2.5,MOD(H3697,30)&gt;=1.5),1,0)*VLOOKUP(D3697,'报价表-配送'!$B$91:$I$95,5,0)</f>
        <v>0</v>
      </c>
      <c r="M3697" s="39">
        <f>IF(AND(MOD(H3697,30)&lt;1.5,MOD(H3697,30)&gt;=0.5),H3697,0)*VLOOKUP(D3697,'报价表-配送'!$B$91:$I$95,4,0)*1000+IF(AND(MOD(H3697,30)&lt;0.5,MOD(H3697,30)&gt;=0.02),H3697,0)*VLOOKUP(D3697,'报价表-配送'!$B$91:$I$95,3,0)*1000+IF(AND(MOD(H3697,30)&lt;0.02),H3697,0)*VLOOKUP(D3697,'报价表-配送'!$B$91:$I$95,2,0)*1000</f>
        <v>0</v>
      </c>
      <c r="N3697" s="127">
        <f t="shared" si="302"/>
        <v>0</v>
      </c>
    </row>
    <row r="3698" spans="1:14" x14ac:dyDescent="0.25">
      <c r="A3698" s="121" t="s">
        <v>125</v>
      </c>
      <c r="B3698" s="121" t="s">
        <v>129</v>
      </c>
      <c r="C3698" s="62">
        <f>VLOOKUP(B3698,合并仓明细!$D$2:$F$74,3,0)</f>
        <v>68</v>
      </c>
      <c r="D3698" s="122" t="s">
        <v>393</v>
      </c>
      <c r="E3698" s="123">
        <v>46036</v>
      </c>
      <c r="F3698" s="121" t="s">
        <v>68</v>
      </c>
      <c r="G3698" s="121">
        <v>957.91032000000007</v>
      </c>
      <c r="H3698" s="124">
        <v>1.49809660571</v>
      </c>
      <c r="I3698" s="46">
        <f>ROUNDUP(H3698/30,0)*VLOOKUP(D3698,'报价表-配送'!$B$91:$I$95,8,0)</f>
        <v>0</v>
      </c>
      <c r="J3698" s="125"/>
      <c r="K3698" s="125"/>
      <c r="L3698" s="121"/>
      <c r="M3698" s="126"/>
      <c r="N3698" s="127">
        <f t="shared" si="302"/>
        <v>0</v>
      </c>
    </row>
    <row r="3699" spans="1:14" x14ac:dyDescent="0.25">
      <c r="A3699" s="121" t="s">
        <v>125</v>
      </c>
      <c r="B3699" s="121" t="s">
        <v>129</v>
      </c>
      <c r="C3699" s="62">
        <f>VLOOKUP(B3699,合并仓明细!$D$2:$F$74,3,0)</f>
        <v>68</v>
      </c>
      <c r="D3699" s="122" t="s">
        <v>393</v>
      </c>
      <c r="E3699" s="123">
        <v>46036</v>
      </c>
      <c r="F3699" s="121" t="s">
        <v>66</v>
      </c>
      <c r="G3699" s="121">
        <v>540.18628570999999</v>
      </c>
      <c r="H3699" s="124"/>
      <c r="I3699" s="125"/>
      <c r="J3699" s="125"/>
      <c r="K3699" s="125"/>
      <c r="L3699" s="121"/>
      <c r="M3699" s="126"/>
      <c r="N3699" s="121"/>
    </row>
    <row r="3700" spans="1:14" x14ac:dyDescent="0.25">
      <c r="A3700" s="121" t="s">
        <v>125</v>
      </c>
      <c r="B3700" s="121" t="s">
        <v>129</v>
      </c>
      <c r="C3700" s="62">
        <f>VLOOKUP(B3700,合并仓明细!$D$2:$F$74,3,0)</f>
        <v>68</v>
      </c>
      <c r="D3700" s="122" t="s">
        <v>393</v>
      </c>
      <c r="E3700" s="123">
        <v>46044</v>
      </c>
      <c r="F3700" s="121" t="s">
        <v>66</v>
      </c>
      <c r="G3700" s="121">
        <v>97.5</v>
      </c>
      <c r="H3700" s="124">
        <v>9.7500000000000003E-2</v>
      </c>
      <c r="I3700" s="125"/>
      <c r="J3700" s="125"/>
      <c r="K3700" s="125"/>
      <c r="L3700" s="37">
        <f>IF(H3700&gt;30,QUOTIENT(H3700,30)*VLOOKUP(D3700,'报价表-配送'!$B$91:$I$95,8,0),0)+IF(AND(MOD(H3700,30)&gt;18,MOD(H3700,30)&lt;=30),1,0)*VLOOKUP(D3700,'报价表-配送'!$B$91:$I$95,8,0)+IF(AND(MOD(H3700,30)&gt;8,MOD(H3700,30)&lt;=18),1*VLOOKUP(D3700,'报价表-配送'!$B$91:$I$95,7,0),0)+IF(AND(MOD(H3700,30)&lt;=8,MOD(H3700,30)&gt;2.5),1,0)*VLOOKUP(D3700,'报价表-配送'!$B$91:$I$95,6,0)+IF(AND(MOD(H3700,30)&lt;=2.5,MOD(H3700,30)&gt;=1.5),1,0)*VLOOKUP(D3700,'报价表-配送'!$B$91:$I$95,5,0)</f>
        <v>0</v>
      </c>
      <c r="M3700" s="39">
        <f>IF(AND(MOD(H3700,30)&lt;1.5,MOD(H3700,30)&gt;=0.5),H3700,0)*VLOOKUP(D3700,'报价表-配送'!$B$91:$I$95,4,0)*1000+IF(AND(MOD(H3700,30)&lt;0.5,MOD(H3700,30)&gt;=0.02),H3700,0)*VLOOKUP(D3700,'报价表-配送'!$B$91:$I$95,3,0)*1000+IF(AND(MOD(H3700,30)&lt;0.02),H3700,0)*VLOOKUP(D3700,'报价表-配送'!$B$91:$I$95,2,0)*1000</f>
        <v>0</v>
      </c>
      <c r="N3700" s="127">
        <f t="shared" ref="N3700:N3701" si="303">SUM(I3700:L3700)</f>
        <v>0</v>
      </c>
    </row>
    <row r="3701" spans="1:14" x14ac:dyDescent="0.25">
      <c r="A3701" s="121" t="s">
        <v>125</v>
      </c>
      <c r="B3701" s="121" t="s">
        <v>129</v>
      </c>
      <c r="C3701" s="62">
        <f>VLOOKUP(B3701,合并仓明细!$D$2:$F$74,3,0)</f>
        <v>68</v>
      </c>
      <c r="D3701" s="122" t="s">
        <v>393</v>
      </c>
      <c r="E3701" s="123">
        <v>46057</v>
      </c>
      <c r="F3701" s="121" t="s">
        <v>67</v>
      </c>
      <c r="G3701" s="121">
        <v>9245.7492000000002</v>
      </c>
      <c r="H3701" s="124">
        <v>9.3956782000000008</v>
      </c>
      <c r="I3701" s="38">
        <f>IF(H3701&gt;30,QUOTIENT(H3701,30)*VLOOKUP(D3701,'报价表-配送'!$B$91:$I$95,8,0),0)+IF(AND(MOD(H3701,30)&gt;18,MOD(H3701,30)&lt;=30),1,0)*VLOOKUP(D3701,'报价表-配送'!$B$91:$I$95,8,0)</f>
        <v>0</v>
      </c>
      <c r="J3701" s="38">
        <f>IF(AND(MOD(H3701,30)&gt;8,MOD(H3701,30)&lt;=18),1*VLOOKUP(D3701,'报价表-配送'!$B$91:$I$95,7,0),0)</f>
        <v>0</v>
      </c>
      <c r="K3701" s="38">
        <f>IF(AND(MOD(H3701,30)&lt;=8,MOD(H3701,30)&gt;0),1,0)*VLOOKUP(D3701,'报价表-配送'!$B$91:$I$95,6,0)</f>
        <v>0</v>
      </c>
      <c r="L3701" s="121"/>
      <c r="M3701" s="126"/>
      <c r="N3701" s="127">
        <f t="shared" si="303"/>
        <v>0</v>
      </c>
    </row>
    <row r="3702" spans="1:14" x14ac:dyDescent="0.25">
      <c r="A3702" s="121" t="s">
        <v>125</v>
      </c>
      <c r="B3702" s="121" t="s">
        <v>129</v>
      </c>
      <c r="C3702" s="62">
        <f>VLOOKUP(B3702,合并仓明细!$D$2:$F$74,3,0)</f>
        <v>68</v>
      </c>
      <c r="D3702" s="122" t="s">
        <v>393</v>
      </c>
      <c r="E3702" s="123">
        <v>46057</v>
      </c>
      <c r="F3702" s="121" t="s">
        <v>66</v>
      </c>
      <c r="G3702" s="121">
        <v>149.929</v>
      </c>
      <c r="H3702" s="124"/>
      <c r="I3702" s="125"/>
      <c r="J3702" s="125"/>
      <c r="K3702" s="125"/>
      <c r="L3702" s="121"/>
      <c r="M3702" s="126"/>
      <c r="N3702" s="121"/>
    </row>
    <row r="3703" spans="1:14" x14ac:dyDescent="0.25">
      <c r="A3703" s="121" t="s">
        <v>125</v>
      </c>
      <c r="B3703" s="121" t="s">
        <v>129</v>
      </c>
      <c r="C3703" s="62">
        <f>VLOOKUP(B3703,合并仓明细!$D$2:$F$74,3,0)</f>
        <v>68</v>
      </c>
      <c r="D3703" s="122" t="s">
        <v>393</v>
      </c>
      <c r="E3703" s="123">
        <v>46104</v>
      </c>
      <c r="F3703" s="121" t="s">
        <v>67</v>
      </c>
      <c r="G3703" s="121">
        <v>407.51280000000003</v>
      </c>
      <c r="H3703" s="124">
        <v>0.58009279996999996</v>
      </c>
      <c r="I3703" s="38">
        <f>IF(H3703&gt;30,QUOTIENT(H3703,30)*VLOOKUP(D3703,'报价表-配送'!$B$91:$I$95,8,0),0)+IF(AND(MOD(H3703,30)&gt;18,MOD(H3703,30)&lt;=30),1,0)*VLOOKUP(D3703,'报价表-配送'!$B$91:$I$95,8,0)</f>
        <v>0</v>
      </c>
      <c r="J3703" s="38">
        <f>IF(AND(MOD(H3703,30)&gt;8,MOD(H3703,30)&lt;=18),1*VLOOKUP(D3703,'报价表-配送'!$B$91:$I$95,7,0),0)</f>
        <v>0</v>
      </c>
      <c r="K3703" s="38">
        <f>IF(AND(MOD(H3703,30)&lt;=8,MOD(H3703,30)&gt;0),1,0)*VLOOKUP(D3703,'报价表-配送'!$B$91:$I$95,6,0)</f>
        <v>0</v>
      </c>
      <c r="L3703" s="121"/>
      <c r="M3703" s="126"/>
      <c r="N3703" s="127">
        <f t="shared" ref="N3703" si="304">SUM(I3703:L3703)</f>
        <v>0</v>
      </c>
    </row>
    <row r="3704" spans="1:14" x14ac:dyDescent="0.25">
      <c r="A3704" s="121" t="s">
        <v>125</v>
      </c>
      <c r="B3704" s="121" t="s">
        <v>129</v>
      </c>
      <c r="C3704" s="62">
        <f>VLOOKUP(B3704,合并仓明细!$D$2:$F$74,3,0)</f>
        <v>68</v>
      </c>
      <c r="D3704" s="122" t="s">
        <v>393</v>
      </c>
      <c r="E3704" s="123">
        <v>46104</v>
      </c>
      <c r="F3704" s="121" t="s">
        <v>66</v>
      </c>
      <c r="G3704" s="121">
        <v>172.57999997000002</v>
      </c>
      <c r="H3704" s="124"/>
      <c r="I3704" s="125"/>
      <c r="J3704" s="125"/>
      <c r="K3704" s="125"/>
      <c r="L3704" s="121"/>
      <c r="M3704" s="126"/>
      <c r="N3704" s="121"/>
    </row>
    <row r="3705" spans="1:14" x14ac:dyDescent="0.25">
      <c r="A3705" s="121" t="s">
        <v>125</v>
      </c>
      <c r="B3705" s="121" t="s">
        <v>125</v>
      </c>
      <c r="C3705" s="62">
        <f>VLOOKUP(B3705,合并仓明细!$D$2:$F$74,3,0)</f>
        <v>44</v>
      </c>
      <c r="D3705" s="122" t="s">
        <v>393</v>
      </c>
      <c r="E3705" s="123">
        <v>45981</v>
      </c>
      <c r="F3705" s="121" t="s">
        <v>68</v>
      </c>
      <c r="G3705" s="121">
        <v>378.56975999999992</v>
      </c>
      <c r="H3705" s="124">
        <v>3.6832938660000001</v>
      </c>
      <c r="I3705" s="46">
        <f>ROUNDUP(H3705/30,0)*VLOOKUP(D3705,'报价表-配送'!$B$91:$I$95,8,0)</f>
        <v>0</v>
      </c>
      <c r="J3705" s="125"/>
      <c r="K3705" s="125"/>
      <c r="L3705" s="121"/>
      <c r="M3705" s="126"/>
      <c r="N3705" s="127">
        <f t="shared" ref="N3705" si="305">SUM(I3705:L3705)</f>
        <v>0</v>
      </c>
    </row>
    <row r="3706" spans="1:14" x14ac:dyDescent="0.25">
      <c r="A3706" s="121" t="s">
        <v>125</v>
      </c>
      <c r="B3706" s="121" t="s">
        <v>125</v>
      </c>
      <c r="C3706" s="62">
        <f>VLOOKUP(B3706,合并仓明细!$D$2:$F$74,3,0)</f>
        <v>44</v>
      </c>
      <c r="D3706" s="122" t="s">
        <v>393</v>
      </c>
      <c r="E3706" s="123">
        <v>45981</v>
      </c>
      <c r="F3706" s="121" t="s">
        <v>67</v>
      </c>
      <c r="G3706" s="121">
        <v>3266.2566059999999</v>
      </c>
      <c r="H3706" s="124"/>
      <c r="I3706" s="125"/>
      <c r="J3706" s="125"/>
      <c r="K3706" s="125"/>
      <c r="L3706" s="121"/>
      <c r="M3706" s="126"/>
      <c r="N3706" s="121"/>
    </row>
    <row r="3707" spans="1:14" x14ac:dyDescent="0.25">
      <c r="A3707" s="121" t="s">
        <v>125</v>
      </c>
      <c r="B3707" s="121" t="s">
        <v>125</v>
      </c>
      <c r="C3707" s="62">
        <f>VLOOKUP(B3707,合并仓明细!$D$2:$F$74,3,0)</f>
        <v>44</v>
      </c>
      <c r="D3707" s="122" t="s">
        <v>393</v>
      </c>
      <c r="E3707" s="123">
        <v>45981</v>
      </c>
      <c r="F3707" s="121" t="s">
        <v>66</v>
      </c>
      <c r="G3707" s="121">
        <v>38.467499999999994</v>
      </c>
      <c r="H3707" s="124"/>
      <c r="I3707" s="125"/>
      <c r="J3707" s="125"/>
      <c r="K3707" s="125"/>
      <c r="L3707" s="121"/>
      <c r="M3707" s="126"/>
      <c r="N3707" s="121"/>
    </row>
    <row r="3708" spans="1:14" x14ac:dyDescent="0.25">
      <c r="A3708" s="121" t="s">
        <v>125</v>
      </c>
      <c r="B3708" s="121" t="s">
        <v>125</v>
      </c>
      <c r="C3708" s="62">
        <f>VLOOKUP(B3708,合并仓明细!$D$2:$F$74,3,0)</f>
        <v>44</v>
      </c>
      <c r="D3708" s="122" t="s">
        <v>393</v>
      </c>
      <c r="E3708" s="123">
        <v>46086</v>
      </c>
      <c r="F3708" s="121" t="s">
        <v>68</v>
      </c>
      <c r="G3708" s="121">
        <v>624.31200000000001</v>
      </c>
      <c r="H3708" s="124">
        <v>0.86889908331999988</v>
      </c>
      <c r="I3708" s="46">
        <f>ROUNDUP(H3708/30,0)*VLOOKUP(D3708,'报价表-配送'!$B$91:$I$95,8,0)</f>
        <v>0</v>
      </c>
      <c r="J3708" s="125"/>
      <c r="K3708" s="125"/>
      <c r="L3708" s="121"/>
      <c r="M3708" s="126"/>
      <c r="N3708" s="127">
        <f t="shared" ref="N3708" si="306">SUM(I3708:L3708)</f>
        <v>0</v>
      </c>
    </row>
    <row r="3709" spans="1:14" x14ac:dyDescent="0.25">
      <c r="A3709" s="121" t="s">
        <v>125</v>
      </c>
      <c r="B3709" s="121" t="s">
        <v>125</v>
      </c>
      <c r="C3709" s="62">
        <f>VLOOKUP(B3709,合并仓明细!$D$2:$F$74,3,0)</f>
        <v>44</v>
      </c>
      <c r="D3709" s="122" t="s">
        <v>393</v>
      </c>
      <c r="E3709" s="123">
        <v>46086</v>
      </c>
      <c r="F3709" s="121" t="s">
        <v>66</v>
      </c>
      <c r="G3709" s="121">
        <v>244.58708331999995</v>
      </c>
      <c r="H3709" s="124"/>
      <c r="I3709" s="125"/>
      <c r="J3709" s="125"/>
      <c r="K3709" s="125"/>
      <c r="L3709" s="121"/>
      <c r="M3709" s="126"/>
      <c r="N3709" s="121"/>
    </row>
    <row r="3710" spans="1:14" x14ac:dyDescent="0.25">
      <c r="A3710" s="121" t="s">
        <v>125</v>
      </c>
      <c r="B3710" s="121" t="s">
        <v>125</v>
      </c>
      <c r="C3710" s="62">
        <f>VLOOKUP(B3710,合并仓明细!$D$2:$F$74,3,0)</f>
        <v>44</v>
      </c>
      <c r="D3710" s="122" t="s">
        <v>393</v>
      </c>
      <c r="E3710" s="123">
        <v>46090</v>
      </c>
      <c r="F3710" s="121" t="s">
        <v>67</v>
      </c>
      <c r="G3710" s="121">
        <v>1638.5088000000001</v>
      </c>
      <c r="H3710" s="124">
        <v>1.6901954666700001</v>
      </c>
      <c r="I3710" s="38">
        <f>IF(H3710&gt;30,QUOTIENT(H3710,30)*VLOOKUP(D3710,'报价表-配送'!$B$91:$I$95,8,0),0)+IF(AND(MOD(H3710,30)&gt;18,MOD(H3710,30)&lt;=30),1,0)*VLOOKUP(D3710,'报价表-配送'!$B$91:$I$95,8,0)</f>
        <v>0</v>
      </c>
      <c r="J3710" s="38">
        <f>IF(AND(MOD(H3710,30)&gt;8,MOD(H3710,30)&lt;=18),1*VLOOKUP(D3710,'报价表-配送'!$B$91:$I$95,7,0),0)</f>
        <v>0</v>
      </c>
      <c r="K3710" s="38">
        <f>IF(AND(MOD(H3710,30)&lt;=8,MOD(H3710,30)&gt;0),1,0)*VLOOKUP(D3710,'报价表-配送'!$B$91:$I$95,6,0)</f>
        <v>0</v>
      </c>
      <c r="L3710" s="121"/>
      <c r="M3710" s="126"/>
      <c r="N3710" s="127">
        <f t="shared" ref="N3710" si="307">SUM(I3710:L3710)</f>
        <v>0</v>
      </c>
    </row>
    <row r="3711" spans="1:14" x14ac:dyDescent="0.25">
      <c r="A3711" s="121" t="s">
        <v>125</v>
      </c>
      <c r="B3711" s="121" t="s">
        <v>125</v>
      </c>
      <c r="C3711" s="62">
        <f>VLOOKUP(B3711,合并仓明细!$D$2:$F$74,3,0)</f>
        <v>44</v>
      </c>
      <c r="D3711" s="122" t="s">
        <v>393</v>
      </c>
      <c r="E3711" s="123">
        <v>46090</v>
      </c>
      <c r="F3711" s="121" t="s">
        <v>66</v>
      </c>
      <c r="G3711" s="121">
        <v>51.686666670000001</v>
      </c>
      <c r="H3711" s="124"/>
      <c r="I3711" s="125"/>
      <c r="J3711" s="125"/>
      <c r="K3711" s="125"/>
      <c r="L3711" s="121"/>
      <c r="M3711" s="126"/>
      <c r="N3711" s="121"/>
    </row>
    <row r="3712" spans="1:14" x14ac:dyDescent="0.25">
      <c r="A3712" s="121" t="s">
        <v>125</v>
      </c>
      <c r="B3712" s="121" t="s">
        <v>125</v>
      </c>
      <c r="C3712" s="62">
        <f>VLOOKUP(B3712,合并仓明细!$D$2:$F$74,3,0)</f>
        <v>44</v>
      </c>
      <c r="D3712" s="122" t="s">
        <v>393</v>
      </c>
      <c r="E3712" s="123">
        <v>46099</v>
      </c>
      <c r="F3712" s="121" t="s">
        <v>66</v>
      </c>
      <c r="G3712" s="121">
        <v>163.53464285999999</v>
      </c>
      <c r="H3712" s="124">
        <v>0.16353464286</v>
      </c>
      <c r="I3712" s="125"/>
      <c r="J3712" s="125"/>
      <c r="K3712" s="125"/>
      <c r="L3712" s="37">
        <f>IF(H3712&gt;30,QUOTIENT(H3712,30)*VLOOKUP(D3712,'报价表-配送'!$B$91:$I$95,8,0),0)+IF(AND(MOD(H3712,30)&gt;18,MOD(H3712,30)&lt;=30),1,0)*VLOOKUP(D3712,'报价表-配送'!$B$91:$I$95,8,0)+IF(AND(MOD(H3712,30)&gt;8,MOD(H3712,30)&lt;=18),1*VLOOKUP(D3712,'报价表-配送'!$B$91:$I$95,7,0),0)+IF(AND(MOD(H3712,30)&lt;=8,MOD(H3712,30)&gt;2.5),1,0)*VLOOKUP(D3712,'报价表-配送'!$B$91:$I$95,6,0)+IF(AND(MOD(H3712,30)&lt;=2.5,MOD(H3712,30)&gt;=1.5),1,0)*VLOOKUP(D3712,'报价表-配送'!$B$91:$I$95,5,0)</f>
        <v>0</v>
      </c>
      <c r="M3712" s="39">
        <f>IF(AND(MOD(H3712,30)&lt;1.5,MOD(H3712,30)&gt;=0.5),H3712,0)*VLOOKUP(D3712,'报价表-配送'!$B$91:$I$95,4,0)*1000+IF(AND(MOD(H3712,30)&lt;0.5,MOD(H3712,30)&gt;=0.02),H3712,0)*VLOOKUP(D3712,'报价表-配送'!$B$91:$I$95,3,0)*1000+IF(AND(MOD(H3712,30)&lt;0.02),H3712,0)*VLOOKUP(D3712,'报价表-配送'!$B$91:$I$95,2,0)*1000</f>
        <v>0</v>
      </c>
      <c r="N3712" s="127">
        <f t="shared" ref="N3712:N3714" si="308">SUM(I3712:L3712)</f>
        <v>0</v>
      </c>
    </row>
    <row r="3713" spans="1:14" x14ac:dyDescent="0.25">
      <c r="A3713" s="121" t="s">
        <v>125</v>
      </c>
      <c r="B3713" s="121" t="s">
        <v>125</v>
      </c>
      <c r="C3713" s="62">
        <f>VLOOKUP(B3713,合并仓明细!$D$2:$F$74,3,0)</f>
        <v>44</v>
      </c>
      <c r="D3713" s="122" t="s">
        <v>393</v>
      </c>
      <c r="E3713" s="123">
        <v>46104</v>
      </c>
      <c r="F3713" s="121" t="s">
        <v>66</v>
      </c>
      <c r="G3713" s="121">
        <v>75.179999999999993</v>
      </c>
      <c r="H3713" s="124">
        <v>7.5179999999999997E-2</v>
      </c>
      <c r="I3713" s="125"/>
      <c r="J3713" s="125"/>
      <c r="K3713" s="125"/>
      <c r="L3713" s="37">
        <f>IF(H3713&gt;30,QUOTIENT(H3713,30)*VLOOKUP(D3713,'报价表-配送'!$B$91:$I$95,8,0),0)+IF(AND(MOD(H3713,30)&gt;18,MOD(H3713,30)&lt;=30),1,0)*VLOOKUP(D3713,'报价表-配送'!$B$91:$I$95,8,0)+IF(AND(MOD(H3713,30)&gt;8,MOD(H3713,30)&lt;=18),1*VLOOKUP(D3713,'报价表-配送'!$B$91:$I$95,7,0),0)+IF(AND(MOD(H3713,30)&lt;=8,MOD(H3713,30)&gt;2.5),1,0)*VLOOKUP(D3713,'报价表-配送'!$B$91:$I$95,6,0)+IF(AND(MOD(H3713,30)&lt;=2.5,MOD(H3713,30)&gt;=1.5),1,0)*VLOOKUP(D3713,'报价表-配送'!$B$91:$I$95,5,0)</f>
        <v>0</v>
      </c>
      <c r="M3713" s="39">
        <f>IF(AND(MOD(H3713,30)&lt;1.5,MOD(H3713,30)&gt;=0.5),H3713,0)*VLOOKUP(D3713,'报价表-配送'!$B$91:$I$95,4,0)*1000+IF(AND(MOD(H3713,30)&lt;0.5,MOD(H3713,30)&gt;=0.02),H3713,0)*VLOOKUP(D3713,'报价表-配送'!$B$91:$I$95,3,0)*1000+IF(AND(MOD(H3713,30)&lt;0.02),H3713,0)*VLOOKUP(D3713,'报价表-配送'!$B$91:$I$95,2,0)*1000</f>
        <v>0</v>
      </c>
      <c r="N3713" s="127">
        <f t="shared" si="308"/>
        <v>0</v>
      </c>
    </row>
    <row r="3714" spans="1:14" x14ac:dyDescent="0.25">
      <c r="A3714" s="121" t="s">
        <v>105</v>
      </c>
      <c r="B3714" s="121" t="s">
        <v>106</v>
      </c>
      <c r="C3714" s="62">
        <f>VLOOKUP(B3714,合并仓明细!$D$2:$F$74,3,0)</f>
        <v>47</v>
      </c>
      <c r="D3714" s="122" t="s">
        <v>393</v>
      </c>
      <c r="E3714" s="123">
        <v>45944</v>
      </c>
      <c r="F3714" s="121" t="s">
        <v>68</v>
      </c>
      <c r="G3714" s="121">
        <v>545.53932000000009</v>
      </c>
      <c r="H3714" s="124">
        <v>11.933169803689999</v>
      </c>
      <c r="I3714" s="46">
        <f>ROUNDUP(H3714/30,0)*VLOOKUP(D3714,'报价表-配送'!$B$54:$I$58,8,0)</f>
        <v>0</v>
      </c>
      <c r="J3714" s="125"/>
      <c r="K3714" s="125"/>
      <c r="L3714" s="121"/>
      <c r="M3714" s="126"/>
      <c r="N3714" s="127">
        <f t="shared" si="308"/>
        <v>0</v>
      </c>
    </row>
    <row r="3715" spans="1:14" x14ac:dyDescent="0.25">
      <c r="A3715" s="121" t="s">
        <v>105</v>
      </c>
      <c r="B3715" s="121" t="s">
        <v>106</v>
      </c>
      <c r="C3715" s="62">
        <f>VLOOKUP(B3715,合并仓明细!$D$2:$F$74,3,0)</f>
        <v>47</v>
      </c>
      <c r="D3715" s="122" t="s">
        <v>393</v>
      </c>
      <c r="E3715" s="123">
        <v>45944</v>
      </c>
      <c r="F3715" s="121" t="s">
        <v>67</v>
      </c>
      <c r="G3715" s="121">
        <v>9784.9492500000015</v>
      </c>
      <c r="H3715" s="124"/>
      <c r="I3715" s="125"/>
      <c r="J3715" s="125"/>
      <c r="K3715" s="125"/>
      <c r="L3715" s="121"/>
      <c r="M3715" s="126"/>
      <c r="N3715" s="121"/>
    </row>
    <row r="3716" spans="1:14" x14ac:dyDescent="0.25">
      <c r="A3716" s="121" t="s">
        <v>105</v>
      </c>
      <c r="B3716" s="121" t="s">
        <v>106</v>
      </c>
      <c r="C3716" s="62">
        <f>VLOOKUP(B3716,合并仓明细!$D$2:$F$74,3,0)</f>
        <v>47</v>
      </c>
      <c r="D3716" s="122" t="s">
        <v>393</v>
      </c>
      <c r="E3716" s="123">
        <v>45944</v>
      </c>
      <c r="F3716" s="121" t="s">
        <v>66</v>
      </c>
      <c r="G3716" s="121">
        <v>1602.6812336899991</v>
      </c>
      <c r="H3716" s="124"/>
      <c r="I3716" s="125"/>
      <c r="J3716" s="125"/>
      <c r="K3716" s="125"/>
      <c r="L3716" s="121"/>
      <c r="M3716" s="126"/>
      <c r="N3716" s="121"/>
    </row>
    <row r="3717" spans="1:14" x14ac:dyDescent="0.25">
      <c r="A3717" s="121" t="s">
        <v>105</v>
      </c>
      <c r="B3717" s="121" t="s">
        <v>106</v>
      </c>
      <c r="C3717" s="62">
        <f>VLOOKUP(B3717,合并仓明细!$D$2:$F$74,3,0)</f>
        <v>47</v>
      </c>
      <c r="D3717" s="122" t="s">
        <v>393</v>
      </c>
      <c r="E3717" s="123">
        <v>45957</v>
      </c>
      <c r="F3717" s="121" t="s">
        <v>68</v>
      </c>
      <c r="G3717" s="121">
        <v>556.86123799999996</v>
      </c>
      <c r="H3717" s="124">
        <v>1.46890474868</v>
      </c>
      <c r="I3717" s="46">
        <f>ROUNDUP(H3717/30,0)*VLOOKUP(D3717,'报价表-配送'!$B$54:$I$58,8,0)</f>
        <v>0</v>
      </c>
      <c r="J3717" s="125"/>
      <c r="K3717" s="125"/>
      <c r="L3717" s="121"/>
      <c r="M3717" s="126"/>
      <c r="N3717" s="127">
        <f t="shared" ref="N3717" si="309">SUM(I3717:L3717)</f>
        <v>0</v>
      </c>
    </row>
    <row r="3718" spans="1:14" x14ac:dyDescent="0.25">
      <c r="A3718" s="121" t="s">
        <v>105</v>
      </c>
      <c r="B3718" s="121" t="s">
        <v>106</v>
      </c>
      <c r="C3718" s="62">
        <f>VLOOKUP(B3718,合并仓明细!$D$2:$F$74,3,0)</f>
        <v>47</v>
      </c>
      <c r="D3718" s="122" t="s">
        <v>393</v>
      </c>
      <c r="E3718" s="123">
        <v>45957</v>
      </c>
      <c r="F3718" s="121" t="s">
        <v>67</v>
      </c>
      <c r="G3718" s="121">
        <v>532.17434400000002</v>
      </c>
      <c r="H3718" s="124"/>
      <c r="I3718" s="125"/>
      <c r="J3718" s="125"/>
      <c r="K3718" s="125"/>
      <c r="L3718" s="121"/>
      <c r="M3718" s="126"/>
      <c r="N3718" s="121"/>
    </row>
    <row r="3719" spans="1:14" x14ac:dyDescent="0.25">
      <c r="A3719" s="121" t="s">
        <v>105</v>
      </c>
      <c r="B3719" s="121" t="s">
        <v>106</v>
      </c>
      <c r="C3719" s="62">
        <f>VLOOKUP(B3719,合并仓明细!$D$2:$F$74,3,0)</f>
        <v>47</v>
      </c>
      <c r="D3719" s="122" t="s">
        <v>393</v>
      </c>
      <c r="E3719" s="123">
        <v>45957</v>
      </c>
      <c r="F3719" s="121" t="s">
        <v>66</v>
      </c>
      <c r="G3719" s="121">
        <v>379.86916668000003</v>
      </c>
      <c r="H3719" s="124"/>
      <c r="I3719" s="125"/>
      <c r="J3719" s="125"/>
      <c r="K3719" s="125"/>
      <c r="L3719" s="121"/>
      <c r="M3719" s="126"/>
      <c r="N3719" s="121"/>
    </row>
    <row r="3720" spans="1:14" x14ac:dyDescent="0.25">
      <c r="A3720" s="121" t="s">
        <v>105</v>
      </c>
      <c r="B3720" s="121" t="s">
        <v>106</v>
      </c>
      <c r="C3720" s="62">
        <f>VLOOKUP(B3720,合并仓明细!$D$2:$F$74,3,0)</f>
        <v>47</v>
      </c>
      <c r="D3720" s="122" t="s">
        <v>393</v>
      </c>
      <c r="E3720" s="123">
        <v>45973</v>
      </c>
      <c r="F3720" s="121" t="s">
        <v>68</v>
      </c>
      <c r="G3720" s="121">
        <v>2342.9546399999999</v>
      </c>
      <c r="H3720" s="124">
        <v>4.4720798533200004</v>
      </c>
      <c r="I3720" s="46">
        <f>ROUNDUP(H3720/30,0)*VLOOKUP(D3720,'报价表-配送'!$B$54:$I$58,8,0)</f>
        <v>0</v>
      </c>
      <c r="J3720" s="125"/>
      <c r="K3720" s="125"/>
      <c r="L3720" s="121"/>
      <c r="M3720" s="126"/>
      <c r="N3720" s="127">
        <f t="shared" ref="N3720" si="310">SUM(I3720:L3720)</f>
        <v>0</v>
      </c>
    </row>
    <row r="3721" spans="1:14" x14ac:dyDescent="0.25">
      <c r="A3721" s="121" t="s">
        <v>105</v>
      </c>
      <c r="B3721" s="121" t="s">
        <v>106</v>
      </c>
      <c r="C3721" s="62">
        <f>VLOOKUP(B3721,合并仓明细!$D$2:$F$74,3,0)</f>
        <v>47</v>
      </c>
      <c r="D3721" s="122" t="s">
        <v>393</v>
      </c>
      <c r="E3721" s="123">
        <v>45973</v>
      </c>
      <c r="F3721" s="121" t="s">
        <v>67</v>
      </c>
      <c r="G3721" s="121">
        <v>656.98188000000005</v>
      </c>
      <c r="H3721" s="124"/>
      <c r="I3721" s="125"/>
      <c r="J3721" s="125"/>
      <c r="K3721" s="125"/>
      <c r="L3721" s="121"/>
      <c r="M3721" s="126"/>
      <c r="N3721" s="121"/>
    </row>
    <row r="3722" spans="1:14" x14ac:dyDescent="0.25">
      <c r="A3722" s="121" t="s">
        <v>105</v>
      </c>
      <c r="B3722" s="121" t="s">
        <v>106</v>
      </c>
      <c r="C3722" s="62">
        <f>VLOOKUP(B3722,合并仓明细!$D$2:$F$74,3,0)</f>
        <v>47</v>
      </c>
      <c r="D3722" s="122" t="s">
        <v>393</v>
      </c>
      <c r="E3722" s="123">
        <v>45973</v>
      </c>
      <c r="F3722" s="121" t="s">
        <v>66</v>
      </c>
      <c r="G3722" s="121">
        <v>1472.1433333200005</v>
      </c>
      <c r="H3722" s="124"/>
      <c r="I3722" s="125"/>
      <c r="J3722" s="125"/>
      <c r="K3722" s="125"/>
      <c r="L3722" s="121"/>
      <c r="M3722" s="126"/>
      <c r="N3722" s="121"/>
    </row>
    <row r="3723" spans="1:14" x14ac:dyDescent="0.25">
      <c r="A3723" s="121" t="s">
        <v>105</v>
      </c>
      <c r="B3723" s="121" t="s">
        <v>106</v>
      </c>
      <c r="C3723" s="62">
        <f>VLOOKUP(B3723,合并仓明细!$D$2:$F$74,3,0)</f>
        <v>47</v>
      </c>
      <c r="D3723" s="122" t="s">
        <v>393</v>
      </c>
      <c r="E3723" s="123">
        <v>45979</v>
      </c>
      <c r="F3723" s="121" t="s">
        <v>66</v>
      </c>
      <c r="G3723" s="121">
        <v>213.16333334000007</v>
      </c>
      <c r="H3723" s="124">
        <v>0.21316333334000007</v>
      </c>
      <c r="I3723" s="125"/>
      <c r="J3723" s="125"/>
      <c r="K3723" s="125"/>
      <c r="L3723" s="37">
        <f>IF(H3723&gt;30,QUOTIENT(H3723,30)*VLOOKUP(D3723,'报价表-配送'!$B$54:$I$58,8,0),0)+IF(AND(MOD(H3723,30)&gt;18,MOD(H3723,30)&lt;=30),1,0)*VLOOKUP(D3723,'报价表-配送'!$B$54:$I$58,8,0)+IF(AND(MOD(H3723,30)&gt;8,MOD(H3723,30)&lt;=18),1*VLOOKUP(D3723,'报价表-配送'!$B$54:$I$58,7,0),0)+IF(AND(MOD(H3723,30)&lt;=8,MOD(H3723,30)&gt;2.5),1,0)*VLOOKUP(D3723,'报价表-配送'!$B$54:$I$58,6,0)+IF(AND(MOD(H3723,30)&lt;=2.5,MOD(H3723,30)&gt;=1.5),1,0)*VLOOKUP(D3723,'报价表-配送'!$B$54:$I$58,5,0)</f>
        <v>0</v>
      </c>
      <c r="M3723" s="39">
        <f>IF(AND(MOD(H3723,30)&lt;1.5,MOD(H3723,30)&gt;=0.5),H3723,0)*VLOOKUP(D3723,'报价表-配送'!$B$54:$I$58,4,0)*1000+IF(AND(MOD(H3723,30)&lt;0.5,MOD(H3723,30)&gt;=0.02),H3723,0)*VLOOKUP(D3723,'报价表-配送'!$B$54:$I$58,3,0)*1000+IF(AND(MOD(H3723,30)&lt;0.02),H3723,0)*VLOOKUP(D3723,'报价表-配送'!$B$54:$I$58,2,0)*1000</f>
        <v>0</v>
      </c>
      <c r="N3723" s="127">
        <f t="shared" ref="N3723:N3724" si="311">SUM(I3723:L3723)</f>
        <v>0</v>
      </c>
    </row>
    <row r="3724" spans="1:14" x14ac:dyDescent="0.25">
      <c r="A3724" s="121" t="s">
        <v>105</v>
      </c>
      <c r="B3724" s="121" t="s">
        <v>106</v>
      </c>
      <c r="C3724" s="62">
        <f>VLOOKUP(B3724,合并仓明细!$D$2:$F$74,3,0)</f>
        <v>47</v>
      </c>
      <c r="D3724" s="122" t="s">
        <v>393</v>
      </c>
      <c r="E3724" s="123">
        <v>45986</v>
      </c>
      <c r="F3724" s="121" t="s">
        <v>67</v>
      </c>
      <c r="G3724" s="121">
        <v>5737.476807</v>
      </c>
      <c r="H3724" s="124">
        <v>5.8210168070199995</v>
      </c>
      <c r="I3724" s="38">
        <f>IF(H3724&gt;30,QUOTIENT(H3724,30)*VLOOKUP(D3724,'报价表-配送'!$B$54:$I$58,8,0),0)+IF(AND(MOD(H3724,30)&gt;18,MOD(H3724,30)&lt;=30),1,0)*VLOOKUP(D3724,'报价表-配送'!$B$54:$I$58,8,0)</f>
        <v>0</v>
      </c>
      <c r="J3724" s="38">
        <f>IF(AND(MOD(H3724,30)&gt;8,MOD(H3724,30)&lt;=18),1*VLOOKUP(D3724,'报价表-配送'!$B$54:$I$58,7,0),0)</f>
        <v>0</v>
      </c>
      <c r="K3724" s="38">
        <f>IF(AND(MOD(H3724,30)&lt;=8,MOD(H3724,30)&gt;0),1,0)*VLOOKUP(D3724,'报价表-配送'!$B$54:$I$58,6,0)</f>
        <v>0</v>
      </c>
      <c r="L3724" s="121"/>
      <c r="M3724" s="126"/>
      <c r="N3724" s="127">
        <f t="shared" si="311"/>
        <v>0</v>
      </c>
    </row>
    <row r="3725" spans="1:14" x14ac:dyDescent="0.25">
      <c r="A3725" s="121" t="s">
        <v>105</v>
      </c>
      <c r="B3725" s="121" t="s">
        <v>106</v>
      </c>
      <c r="C3725" s="62">
        <f>VLOOKUP(B3725,合并仓明细!$D$2:$F$74,3,0)</f>
        <v>47</v>
      </c>
      <c r="D3725" s="122" t="s">
        <v>393</v>
      </c>
      <c r="E3725" s="123">
        <v>45986</v>
      </c>
      <c r="F3725" s="121" t="s">
        <v>66</v>
      </c>
      <c r="G3725" s="121">
        <v>83.540000020000008</v>
      </c>
      <c r="H3725" s="124"/>
      <c r="I3725" s="125"/>
      <c r="J3725" s="125"/>
      <c r="K3725" s="125"/>
      <c r="L3725" s="121"/>
      <c r="M3725" s="126"/>
      <c r="N3725" s="121"/>
    </row>
    <row r="3726" spans="1:14" x14ac:dyDescent="0.25">
      <c r="A3726" s="121" t="s">
        <v>105</v>
      </c>
      <c r="B3726" s="121" t="s">
        <v>106</v>
      </c>
      <c r="C3726" s="62">
        <f>VLOOKUP(B3726,合并仓明细!$D$2:$F$74,3,0)</f>
        <v>47</v>
      </c>
      <c r="D3726" s="122" t="s">
        <v>393</v>
      </c>
      <c r="E3726" s="123">
        <v>46003</v>
      </c>
      <c r="F3726" s="121" t="s">
        <v>68</v>
      </c>
      <c r="G3726" s="121">
        <v>4149.7102800000002</v>
      </c>
      <c r="H3726" s="124">
        <v>9.0891618670700005</v>
      </c>
      <c r="I3726" s="46">
        <f>ROUNDUP(H3726/30,0)*VLOOKUP(D3726,'报价表-配送'!$B$54:$I$58,8,0)</f>
        <v>0</v>
      </c>
      <c r="J3726" s="125"/>
      <c r="K3726" s="125"/>
      <c r="L3726" s="121"/>
      <c r="M3726" s="126"/>
      <c r="N3726" s="127">
        <f t="shared" ref="N3726" si="312">SUM(I3726:L3726)</f>
        <v>0</v>
      </c>
    </row>
    <row r="3727" spans="1:14" x14ac:dyDescent="0.25">
      <c r="A3727" s="121" t="s">
        <v>105</v>
      </c>
      <c r="B3727" s="121" t="s">
        <v>106</v>
      </c>
      <c r="C3727" s="62">
        <f>VLOOKUP(B3727,合并仓明细!$D$2:$F$74,3,0)</f>
        <v>47</v>
      </c>
      <c r="D3727" s="122" t="s">
        <v>393</v>
      </c>
      <c r="E3727" s="123">
        <v>46003</v>
      </c>
      <c r="F3727" s="121" t="s">
        <v>67</v>
      </c>
      <c r="G3727" s="121">
        <v>2995.2772300000001</v>
      </c>
      <c r="H3727" s="124"/>
      <c r="I3727" s="125"/>
      <c r="J3727" s="125"/>
      <c r="K3727" s="125"/>
      <c r="L3727" s="121"/>
      <c r="M3727" s="126"/>
      <c r="N3727" s="121"/>
    </row>
    <row r="3728" spans="1:14" x14ac:dyDescent="0.25">
      <c r="A3728" s="121" t="s">
        <v>105</v>
      </c>
      <c r="B3728" s="121" t="s">
        <v>106</v>
      </c>
      <c r="C3728" s="62">
        <f>VLOOKUP(B3728,合并仓明细!$D$2:$F$74,3,0)</f>
        <v>47</v>
      </c>
      <c r="D3728" s="122" t="s">
        <v>393</v>
      </c>
      <c r="E3728" s="123">
        <v>46003</v>
      </c>
      <c r="F3728" s="121" t="s">
        <v>66</v>
      </c>
      <c r="G3728" s="121">
        <v>1944.1743570700007</v>
      </c>
      <c r="H3728" s="124"/>
      <c r="I3728" s="125"/>
      <c r="J3728" s="125"/>
      <c r="K3728" s="125"/>
      <c r="L3728" s="121"/>
      <c r="M3728" s="126"/>
      <c r="N3728" s="121"/>
    </row>
    <row r="3729" spans="1:14" x14ac:dyDescent="0.25">
      <c r="A3729" s="121" t="s">
        <v>105</v>
      </c>
      <c r="B3729" s="121" t="s">
        <v>106</v>
      </c>
      <c r="C3729" s="62">
        <f>VLOOKUP(B3729,合并仓明细!$D$2:$F$74,3,0)</f>
        <v>47</v>
      </c>
      <c r="D3729" s="122" t="s">
        <v>393</v>
      </c>
      <c r="E3729" s="123">
        <v>46015</v>
      </c>
      <c r="F3729" s="121" t="s">
        <v>67</v>
      </c>
      <c r="G3729" s="121">
        <v>877.75884799999994</v>
      </c>
      <c r="H3729" s="124">
        <v>1.4722050979599999</v>
      </c>
      <c r="I3729" s="38">
        <f>IF(H3729&gt;30,QUOTIENT(H3729,30)*VLOOKUP(D3729,'报价表-配送'!$B$54:$I$58,8,0),0)+IF(AND(MOD(H3729,30)&gt;18,MOD(H3729,30)&lt;=30),1,0)*VLOOKUP(D3729,'报价表-配送'!$B$54:$I$58,8,0)</f>
        <v>0</v>
      </c>
      <c r="J3729" s="38">
        <f>IF(AND(MOD(H3729,30)&gt;8,MOD(H3729,30)&lt;=18),1*VLOOKUP(D3729,'报价表-配送'!$B$54:$I$58,7,0),0)</f>
        <v>0</v>
      </c>
      <c r="K3729" s="38">
        <f>IF(AND(MOD(H3729,30)&lt;=8,MOD(H3729,30)&gt;0),1,0)*VLOOKUP(D3729,'报价表-配送'!$B$54:$I$58,6,0)</f>
        <v>0</v>
      </c>
      <c r="L3729" s="121"/>
      <c r="M3729" s="126"/>
      <c r="N3729" s="127">
        <f t="shared" ref="N3729" si="313">SUM(I3729:L3729)</f>
        <v>0</v>
      </c>
    </row>
    <row r="3730" spans="1:14" x14ac:dyDescent="0.25">
      <c r="A3730" s="121" t="s">
        <v>105</v>
      </c>
      <c r="B3730" s="121" t="s">
        <v>106</v>
      </c>
      <c r="C3730" s="62">
        <f>VLOOKUP(B3730,合并仓明细!$D$2:$F$74,3,0)</f>
        <v>47</v>
      </c>
      <c r="D3730" s="122" t="s">
        <v>393</v>
      </c>
      <c r="E3730" s="123">
        <v>46015</v>
      </c>
      <c r="F3730" s="121" t="s">
        <v>66</v>
      </c>
      <c r="G3730" s="121">
        <v>594.44624996000005</v>
      </c>
      <c r="H3730" s="124"/>
      <c r="I3730" s="125"/>
      <c r="J3730" s="125"/>
      <c r="K3730" s="125"/>
      <c r="L3730" s="121"/>
      <c r="M3730" s="126"/>
      <c r="N3730" s="121"/>
    </row>
    <row r="3731" spans="1:14" x14ac:dyDescent="0.25">
      <c r="A3731" s="121" t="s">
        <v>105</v>
      </c>
      <c r="B3731" s="121" t="s">
        <v>106</v>
      </c>
      <c r="C3731" s="62">
        <f>VLOOKUP(B3731,合并仓明细!$D$2:$F$74,3,0)</f>
        <v>47</v>
      </c>
      <c r="D3731" s="122" t="s">
        <v>393</v>
      </c>
      <c r="E3731" s="123">
        <v>46027</v>
      </c>
      <c r="F3731" s="121" t="s">
        <v>68</v>
      </c>
      <c r="G3731" s="121">
        <v>2493.5341199999998</v>
      </c>
      <c r="H3731" s="124">
        <v>6.9227014032199996</v>
      </c>
      <c r="I3731" s="46">
        <f>ROUNDUP(H3731/30,0)*VLOOKUP(D3731,'报价表-配送'!$B$54:$I$58,8,0)</f>
        <v>0</v>
      </c>
      <c r="J3731" s="125"/>
      <c r="K3731" s="125"/>
      <c r="L3731" s="121"/>
      <c r="M3731" s="126"/>
      <c r="N3731" s="127">
        <f t="shared" ref="N3731" si="314">SUM(I3731:L3731)</f>
        <v>0</v>
      </c>
    </row>
    <row r="3732" spans="1:14" x14ac:dyDescent="0.25">
      <c r="A3732" s="121" t="s">
        <v>105</v>
      </c>
      <c r="B3732" s="121" t="s">
        <v>106</v>
      </c>
      <c r="C3732" s="62">
        <f>VLOOKUP(B3732,合并仓明细!$D$2:$F$74,3,0)</f>
        <v>47</v>
      </c>
      <c r="D3732" s="122" t="s">
        <v>393</v>
      </c>
      <c r="E3732" s="123">
        <v>46027</v>
      </c>
      <c r="F3732" s="121" t="s">
        <v>67</v>
      </c>
      <c r="G3732" s="121">
        <v>3096.3627710400006</v>
      </c>
      <c r="H3732" s="124"/>
      <c r="I3732" s="125"/>
      <c r="J3732" s="125"/>
      <c r="K3732" s="125"/>
      <c r="L3732" s="121"/>
      <c r="M3732" s="126"/>
      <c r="N3732" s="121"/>
    </row>
    <row r="3733" spans="1:14" x14ac:dyDescent="0.25">
      <c r="A3733" s="121" t="s">
        <v>105</v>
      </c>
      <c r="B3733" s="121" t="s">
        <v>106</v>
      </c>
      <c r="C3733" s="62">
        <f>VLOOKUP(B3733,合并仓明细!$D$2:$F$74,3,0)</f>
        <v>47</v>
      </c>
      <c r="D3733" s="122" t="s">
        <v>393</v>
      </c>
      <c r="E3733" s="123">
        <v>46027</v>
      </c>
      <c r="F3733" s="121" t="s">
        <v>66</v>
      </c>
      <c r="G3733" s="121">
        <v>1332.8045121799998</v>
      </c>
      <c r="H3733" s="124"/>
      <c r="I3733" s="125"/>
      <c r="J3733" s="125"/>
      <c r="K3733" s="125"/>
      <c r="L3733" s="121"/>
      <c r="M3733" s="126"/>
      <c r="N3733" s="121"/>
    </row>
    <row r="3734" spans="1:14" x14ac:dyDescent="0.25">
      <c r="A3734" s="121" t="s">
        <v>105</v>
      </c>
      <c r="B3734" s="121" t="s">
        <v>106</v>
      </c>
      <c r="C3734" s="62">
        <f>VLOOKUP(B3734,合并仓明细!$D$2:$F$74,3,0)</f>
        <v>47</v>
      </c>
      <c r="D3734" s="122" t="s">
        <v>393</v>
      </c>
      <c r="E3734" s="123">
        <v>46043</v>
      </c>
      <c r="F3734" s="121" t="s">
        <v>67</v>
      </c>
      <c r="G3734" s="121">
        <v>1601.9423999999999</v>
      </c>
      <c r="H3734" s="124">
        <v>2.0506132324499999</v>
      </c>
      <c r="I3734" s="38">
        <f>IF(H3734&gt;30,QUOTIENT(H3734,30)*VLOOKUP(D3734,'报价表-配送'!$B$54:$I$58,8,0),0)+IF(AND(MOD(H3734,30)&gt;18,MOD(H3734,30)&lt;=30),1,0)*VLOOKUP(D3734,'报价表-配送'!$B$54:$I$58,8,0)</f>
        <v>0</v>
      </c>
      <c r="J3734" s="38">
        <f>IF(AND(MOD(H3734,30)&gt;8,MOD(H3734,30)&lt;=18),1*VLOOKUP(D3734,'报价表-配送'!$B$54:$I$58,7,0),0)</f>
        <v>0</v>
      </c>
      <c r="K3734" s="38">
        <f>IF(AND(MOD(H3734,30)&lt;=8,MOD(H3734,30)&gt;0),1,0)*VLOOKUP(D3734,'报价表-配送'!$B$54:$I$58,6,0)</f>
        <v>0</v>
      </c>
      <c r="L3734" s="121"/>
      <c r="M3734" s="126"/>
      <c r="N3734" s="127">
        <f t="shared" ref="N3734" si="315">SUM(I3734:L3734)</f>
        <v>0</v>
      </c>
    </row>
    <row r="3735" spans="1:14" x14ac:dyDescent="0.25">
      <c r="A3735" s="121" t="s">
        <v>105</v>
      </c>
      <c r="B3735" s="121" t="s">
        <v>106</v>
      </c>
      <c r="C3735" s="62">
        <f>VLOOKUP(B3735,合并仓明细!$D$2:$F$74,3,0)</f>
        <v>47</v>
      </c>
      <c r="D3735" s="122" t="s">
        <v>393</v>
      </c>
      <c r="E3735" s="123">
        <v>46043</v>
      </c>
      <c r="F3735" s="121" t="s">
        <v>66</v>
      </c>
      <c r="G3735" s="121">
        <v>448.67083244999998</v>
      </c>
      <c r="H3735" s="124"/>
      <c r="I3735" s="125"/>
      <c r="J3735" s="125"/>
      <c r="K3735" s="125"/>
      <c r="L3735" s="121"/>
      <c r="M3735" s="126"/>
      <c r="N3735" s="121"/>
    </row>
    <row r="3736" spans="1:14" x14ac:dyDescent="0.25">
      <c r="A3736" s="121" t="s">
        <v>105</v>
      </c>
      <c r="B3736" s="121" t="s">
        <v>106</v>
      </c>
      <c r="C3736" s="62">
        <f>VLOOKUP(B3736,合并仓明细!$D$2:$F$74,3,0)</f>
        <v>47</v>
      </c>
      <c r="D3736" s="122" t="s">
        <v>393</v>
      </c>
      <c r="E3736" s="123">
        <v>46048</v>
      </c>
      <c r="F3736" s="121" t="s">
        <v>68</v>
      </c>
      <c r="G3736" s="121">
        <v>978.68399999999997</v>
      </c>
      <c r="H3736" s="124">
        <v>10.183934459980001</v>
      </c>
      <c r="I3736" s="46">
        <f>ROUNDUP(H3736/30,0)*VLOOKUP(D3736,'报价表-配送'!$B$54:$I$58,8,0)</f>
        <v>0</v>
      </c>
      <c r="J3736" s="125"/>
      <c r="K3736" s="125"/>
      <c r="L3736" s="121"/>
      <c r="M3736" s="126"/>
      <c r="N3736" s="127">
        <f t="shared" ref="N3736" si="316">SUM(I3736:L3736)</f>
        <v>0</v>
      </c>
    </row>
    <row r="3737" spans="1:14" x14ac:dyDescent="0.25">
      <c r="A3737" s="121" t="s">
        <v>105</v>
      </c>
      <c r="B3737" s="121" t="s">
        <v>106</v>
      </c>
      <c r="C3737" s="62">
        <f>VLOOKUP(B3737,合并仓明细!$D$2:$F$74,3,0)</f>
        <v>47</v>
      </c>
      <c r="D3737" s="122" t="s">
        <v>393</v>
      </c>
      <c r="E3737" s="123">
        <v>46048</v>
      </c>
      <c r="F3737" s="121" t="s">
        <v>67</v>
      </c>
      <c r="G3737" s="121">
        <v>8316.8199600000007</v>
      </c>
      <c r="H3737" s="124"/>
      <c r="I3737" s="125"/>
      <c r="J3737" s="125"/>
      <c r="K3737" s="125"/>
      <c r="L3737" s="121"/>
      <c r="M3737" s="126"/>
      <c r="N3737" s="121"/>
    </row>
    <row r="3738" spans="1:14" x14ac:dyDescent="0.25">
      <c r="A3738" s="121" t="s">
        <v>105</v>
      </c>
      <c r="B3738" s="121" t="s">
        <v>106</v>
      </c>
      <c r="C3738" s="62">
        <f>VLOOKUP(B3738,合并仓明细!$D$2:$F$74,3,0)</f>
        <v>47</v>
      </c>
      <c r="D3738" s="122" t="s">
        <v>393</v>
      </c>
      <c r="E3738" s="123">
        <v>46048</v>
      </c>
      <c r="F3738" s="121" t="s">
        <v>66</v>
      </c>
      <c r="G3738" s="121">
        <v>888.43049998000015</v>
      </c>
      <c r="H3738" s="124"/>
      <c r="I3738" s="125"/>
      <c r="J3738" s="125"/>
      <c r="K3738" s="125"/>
      <c r="L3738" s="121"/>
      <c r="M3738" s="126"/>
      <c r="N3738" s="121"/>
    </row>
    <row r="3739" spans="1:14" x14ac:dyDescent="0.25">
      <c r="A3739" s="121" t="s">
        <v>105</v>
      </c>
      <c r="B3739" s="121" t="s">
        <v>106</v>
      </c>
      <c r="C3739" s="62">
        <f>VLOOKUP(B3739,合并仓明细!$D$2:$F$74,3,0)</f>
        <v>47</v>
      </c>
      <c r="D3739" s="122" t="s">
        <v>393</v>
      </c>
      <c r="E3739" s="123">
        <v>46056</v>
      </c>
      <c r="F3739" s="121" t="s">
        <v>67</v>
      </c>
      <c r="G3739" s="121">
        <v>4090.7630400000003</v>
      </c>
      <c r="H3739" s="124">
        <v>4.9448880399899995</v>
      </c>
      <c r="I3739" s="38">
        <f>IF(H3739&gt;30,QUOTIENT(H3739,30)*VLOOKUP(D3739,'报价表-配送'!$B$54:$I$58,8,0),0)+IF(AND(MOD(H3739,30)&gt;18,MOD(H3739,30)&lt;=30),1,0)*VLOOKUP(D3739,'报价表-配送'!$B$54:$I$58,8,0)</f>
        <v>0</v>
      </c>
      <c r="J3739" s="38">
        <f>IF(AND(MOD(H3739,30)&gt;8,MOD(H3739,30)&lt;=18),1*VLOOKUP(D3739,'报价表-配送'!$B$54:$I$58,7,0),0)</f>
        <v>0</v>
      </c>
      <c r="K3739" s="38">
        <f>IF(AND(MOD(H3739,30)&lt;=8,MOD(H3739,30)&gt;0),1,0)*VLOOKUP(D3739,'报价表-配送'!$B$54:$I$58,6,0)</f>
        <v>0</v>
      </c>
      <c r="L3739" s="121"/>
      <c r="M3739" s="126"/>
      <c r="N3739" s="127">
        <f t="shared" ref="N3739" si="317">SUM(I3739:L3739)</f>
        <v>0</v>
      </c>
    </row>
    <row r="3740" spans="1:14" x14ac:dyDescent="0.25">
      <c r="A3740" s="121" t="s">
        <v>105</v>
      </c>
      <c r="B3740" s="121" t="s">
        <v>106</v>
      </c>
      <c r="C3740" s="62">
        <f>VLOOKUP(B3740,合并仓明细!$D$2:$F$74,3,0)</f>
        <v>47</v>
      </c>
      <c r="D3740" s="122" t="s">
        <v>393</v>
      </c>
      <c r="E3740" s="123">
        <v>46056</v>
      </c>
      <c r="F3740" s="121" t="s">
        <v>66</v>
      </c>
      <c r="G3740" s="121">
        <v>854.12499998999999</v>
      </c>
      <c r="H3740" s="124"/>
      <c r="I3740" s="125"/>
      <c r="J3740" s="125"/>
      <c r="K3740" s="125"/>
      <c r="L3740" s="121"/>
      <c r="M3740" s="126"/>
      <c r="N3740" s="121"/>
    </row>
    <row r="3741" spans="1:14" x14ac:dyDescent="0.25">
      <c r="A3741" s="121" t="s">
        <v>105</v>
      </c>
      <c r="B3741" s="121" t="s">
        <v>106</v>
      </c>
      <c r="C3741" s="62">
        <f>VLOOKUP(B3741,合并仓明细!$D$2:$F$74,3,0)</f>
        <v>47</v>
      </c>
      <c r="D3741" s="122" t="s">
        <v>393</v>
      </c>
      <c r="E3741" s="123">
        <v>46058</v>
      </c>
      <c r="F3741" s="121" t="s">
        <v>66</v>
      </c>
      <c r="G3741" s="121">
        <v>21.400000000000002</v>
      </c>
      <c r="H3741" s="124">
        <v>2.1400000000000002E-2</v>
      </c>
      <c r="I3741" s="125"/>
      <c r="J3741" s="125"/>
      <c r="K3741" s="125"/>
      <c r="L3741" s="37">
        <f>IF(H3741&gt;30,QUOTIENT(H3741,30)*VLOOKUP(D3741,'报价表-配送'!$B$54:$I$58,8,0),0)+IF(AND(MOD(H3741,30)&gt;18,MOD(H3741,30)&lt;=30),1,0)*VLOOKUP(D3741,'报价表-配送'!$B$54:$I$58,8,0)+IF(AND(MOD(H3741,30)&gt;8,MOD(H3741,30)&lt;=18),1*VLOOKUP(D3741,'报价表-配送'!$B$54:$I$58,7,0),0)+IF(AND(MOD(H3741,30)&lt;=8,MOD(H3741,30)&gt;2.5),1,0)*VLOOKUP(D3741,'报价表-配送'!$B$54:$I$58,6,0)+IF(AND(MOD(H3741,30)&lt;=2.5,MOD(H3741,30)&gt;=1.5),1,0)*VLOOKUP(D3741,'报价表-配送'!$B$54:$I$58,5,0)</f>
        <v>0</v>
      </c>
      <c r="M3741" s="39">
        <f>IF(AND(MOD(H3741,30)&lt;1.5,MOD(H3741,30)&gt;=0.5),H3741,0)*VLOOKUP(D3741,'报价表-配送'!$B$54:$I$58,4,0)*1000+IF(AND(MOD(H3741,30)&lt;0.5,MOD(H3741,30)&gt;=0.02),H3741,0)*VLOOKUP(D3741,'报价表-配送'!$B$54:$I$58,3,0)*1000+IF(AND(MOD(H3741,30)&lt;0.02),H3741,0)*VLOOKUP(D3741,'报价表-配送'!$B$54:$I$58,2,0)*1000</f>
        <v>0</v>
      </c>
      <c r="N3741" s="127">
        <f t="shared" ref="N3741:N3742" si="318">SUM(I3741:L3741)</f>
        <v>0</v>
      </c>
    </row>
    <row r="3742" spans="1:14" x14ac:dyDescent="0.25">
      <c r="A3742" s="121" t="s">
        <v>105</v>
      </c>
      <c r="B3742" s="121" t="s">
        <v>106</v>
      </c>
      <c r="C3742" s="62">
        <f>VLOOKUP(B3742,合并仓明细!$D$2:$F$74,3,0)</f>
        <v>47</v>
      </c>
      <c r="D3742" s="122" t="s">
        <v>393</v>
      </c>
      <c r="E3742" s="123">
        <v>46093</v>
      </c>
      <c r="F3742" s="121" t="s">
        <v>68</v>
      </c>
      <c r="G3742" s="121">
        <v>1.06429</v>
      </c>
      <c r="H3742" s="124">
        <v>5.8068512330000002E-2</v>
      </c>
      <c r="I3742" s="46">
        <f>ROUNDUP(H3742/30,0)*VLOOKUP(D3742,'报价表-配送'!$B$54:$I$58,8,0)</f>
        <v>0</v>
      </c>
      <c r="J3742" s="125"/>
      <c r="K3742" s="125"/>
      <c r="L3742" s="121"/>
      <c r="M3742" s="126"/>
      <c r="N3742" s="127">
        <f t="shared" si="318"/>
        <v>0</v>
      </c>
    </row>
    <row r="3743" spans="1:14" x14ac:dyDescent="0.25">
      <c r="A3743" s="121" t="s">
        <v>105</v>
      </c>
      <c r="B3743" s="121" t="s">
        <v>106</v>
      </c>
      <c r="C3743" s="62">
        <f>VLOOKUP(B3743,合并仓明细!$D$2:$F$74,3,0)</f>
        <v>47</v>
      </c>
      <c r="D3743" s="122" t="s">
        <v>393</v>
      </c>
      <c r="E3743" s="123">
        <v>46093</v>
      </c>
      <c r="F3743" s="121" t="s">
        <v>67</v>
      </c>
      <c r="G3743" s="121">
        <v>8.9533889999999996</v>
      </c>
      <c r="H3743" s="124"/>
      <c r="I3743" s="125"/>
      <c r="J3743" s="125"/>
      <c r="K3743" s="125"/>
      <c r="L3743" s="121"/>
      <c r="M3743" s="126"/>
      <c r="N3743" s="121"/>
    </row>
    <row r="3744" spans="1:14" x14ac:dyDescent="0.25">
      <c r="A3744" s="121" t="s">
        <v>105</v>
      </c>
      <c r="B3744" s="121" t="s">
        <v>106</v>
      </c>
      <c r="C3744" s="62">
        <f>VLOOKUP(B3744,合并仓明细!$D$2:$F$74,3,0)</f>
        <v>47</v>
      </c>
      <c r="D3744" s="122" t="s">
        <v>393</v>
      </c>
      <c r="E3744" s="123">
        <v>46093</v>
      </c>
      <c r="F3744" s="121" t="s">
        <v>66</v>
      </c>
      <c r="G3744" s="121">
        <v>48.050833330000003</v>
      </c>
      <c r="H3744" s="124"/>
      <c r="I3744" s="125"/>
      <c r="J3744" s="125"/>
      <c r="K3744" s="125"/>
      <c r="L3744" s="121"/>
      <c r="M3744" s="126"/>
      <c r="N3744" s="121"/>
    </row>
    <row r="3745" spans="1:14" x14ac:dyDescent="0.25">
      <c r="A3745" s="121" t="s">
        <v>105</v>
      </c>
      <c r="B3745" s="121" t="s">
        <v>106</v>
      </c>
      <c r="C3745" s="62">
        <f>VLOOKUP(B3745,合并仓明细!$D$2:$F$74,3,0)</f>
        <v>47</v>
      </c>
      <c r="D3745" s="122" t="s">
        <v>393</v>
      </c>
      <c r="E3745" s="123">
        <v>46094</v>
      </c>
      <c r="F3745" s="121" t="s">
        <v>68</v>
      </c>
      <c r="G3745" s="121">
        <v>18.665289999999999</v>
      </c>
      <c r="H3745" s="124">
        <v>7.7854095330000012E-2</v>
      </c>
      <c r="I3745" s="46">
        <f>ROUNDUP(H3745/30,0)*VLOOKUP(D3745,'报价表-配送'!$B$54:$I$58,8,0)</f>
        <v>0</v>
      </c>
      <c r="J3745" s="125"/>
      <c r="K3745" s="125"/>
      <c r="L3745" s="121"/>
      <c r="M3745" s="126"/>
      <c r="N3745" s="127">
        <f t="shared" ref="N3745" si="319">SUM(I3745:L3745)</f>
        <v>0</v>
      </c>
    </row>
    <row r="3746" spans="1:14" x14ac:dyDescent="0.25">
      <c r="A3746" s="121" t="s">
        <v>105</v>
      </c>
      <c r="B3746" s="121" t="s">
        <v>106</v>
      </c>
      <c r="C3746" s="62">
        <f>VLOOKUP(B3746,合并仓明细!$D$2:$F$74,3,0)</f>
        <v>47</v>
      </c>
      <c r="D3746" s="122" t="s">
        <v>393</v>
      </c>
      <c r="E3746" s="123">
        <v>46094</v>
      </c>
      <c r="F3746" s="121" t="s">
        <v>67</v>
      </c>
      <c r="G3746" s="121">
        <v>31.355471999999999</v>
      </c>
      <c r="H3746" s="124"/>
      <c r="I3746" s="125"/>
      <c r="J3746" s="125"/>
      <c r="K3746" s="125"/>
      <c r="L3746" s="121"/>
      <c r="M3746" s="126"/>
      <c r="N3746" s="121"/>
    </row>
    <row r="3747" spans="1:14" x14ac:dyDescent="0.25">
      <c r="A3747" s="121" t="s">
        <v>105</v>
      </c>
      <c r="B3747" s="121" t="s">
        <v>106</v>
      </c>
      <c r="C3747" s="62">
        <f>VLOOKUP(B3747,合并仓明细!$D$2:$F$74,3,0)</f>
        <v>47</v>
      </c>
      <c r="D3747" s="122" t="s">
        <v>393</v>
      </c>
      <c r="E3747" s="123">
        <v>46094</v>
      </c>
      <c r="F3747" s="121" t="s">
        <v>66</v>
      </c>
      <c r="G3747" s="121">
        <v>27.833333330000006</v>
      </c>
      <c r="H3747" s="124"/>
      <c r="I3747" s="125"/>
      <c r="J3747" s="125"/>
      <c r="K3747" s="125"/>
      <c r="L3747" s="121"/>
      <c r="M3747" s="126"/>
      <c r="N3747" s="121"/>
    </row>
    <row r="3748" spans="1:14" x14ac:dyDescent="0.25">
      <c r="A3748" s="121" t="s">
        <v>105</v>
      </c>
      <c r="B3748" s="121" t="s">
        <v>106</v>
      </c>
      <c r="C3748" s="62">
        <f>VLOOKUP(B3748,合并仓明细!$D$2:$F$74,3,0)</f>
        <v>47</v>
      </c>
      <c r="D3748" s="122" t="s">
        <v>393</v>
      </c>
      <c r="E3748" s="123">
        <v>46097</v>
      </c>
      <c r="F3748" s="121" t="s">
        <v>66</v>
      </c>
      <c r="G3748" s="121">
        <v>2.1</v>
      </c>
      <c r="H3748" s="124">
        <v>2.1000000000000003E-3</v>
      </c>
      <c r="I3748" s="125"/>
      <c r="J3748" s="125"/>
      <c r="K3748" s="125"/>
      <c r="L3748" s="37">
        <f>IF(H3748&gt;30,QUOTIENT(H3748,30)*VLOOKUP(D3748,'报价表-配送'!$B$54:$I$58,8,0),0)+IF(AND(MOD(H3748,30)&gt;18,MOD(H3748,30)&lt;=30),1,0)*VLOOKUP(D3748,'报价表-配送'!$B$54:$I$58,8,0)+IF(AND(MOD(H3748,30)&gt;8,MOD(H3748,30)&lt;=18),1*VLOOKUP(D3748,'报价表-配送'!$B$54:$I$58,7,0),0)+IF(AND(MOD(H3748,30)&lt;=8,MOD(H3748,30)&gt;2.5),1,0)*VLOOKUP(D3748,'报价表-配送'!$B$54:$I$58,6,0)+IF(AND(MOD(H3748,30)&lt;=2.5,MOD(H3748,30)&gt;=1.5),1,0)*VLOOKUP(D3748,'报价表-配送'!$B$54:$I$58,5,0)</f>
        <v>0</v>
      </c>
      <c r="M3748" s="39">
        <f>IF(AND(MOD(H3748,30)&lt;1.5,MOD(H3748,30)&gt;=0.5),H3748,0)*VLOOKUP(D3748,'报价表-配送'!$B$54:$I$58,4,0)*1000+IF(AND(MOD(H3748,30)&lt;0.5,MOD(H3748,30)&gt;=0.02),H3748,0)*VLOOKUP(D3748,'报价表-配送'!$B$54:$I$58,3,0)*1000+IF(AND(MOD(H3748,30)&lt;0.02),H3748,0)*VLOOKUP(D3748,'报价表-配送'!$B$54:$I$58,2,0)*1000</f>
        <v>0</v>
      </c>
      <c r="N3748" s="127">
        <f t="shared" ref="N3748:N3749" si="320">SUM(I3748:L3748)</f>
        <v>0</v>
      </c>
    </row>
    <row r="3749" spans="1:14" x14ac:dyDescent="0.25">
      <c r="A3749" s="121" t="s">
        <v>105</v>
      </c>
      <c r="B3749" s="121" t="s">
        <v>107</v>
      </c>
      <c r="C3749" s="62">
        <f>VLOOKUP(B3749,合并仓明细!$D$2:$F$74,3,0)</f>
        <v>244</v>
      </c>
      <c r="D3749" s="122" t="s">
        <v>414</v>
      </c>
      <c r="E3749" s="123">
        <v>45951</v>
      </c>
      <c r="F3749" s="121" t="s">
        <v>68</v>
      </c>
      <c r="G3749" s="121">
        <v>114.94332</v>
      </c>
      <c r="H3749" s="124">
        <v>3.8854565097199996</v>
      </c>
      <c r="I3749" s="46">
        <f>ROUNDUP(H3749/30,0)*VLOOKUP(D3749,'报价表-配送'!$B$54:$I$58,8,0)</f>
        <v>0</v>
      </c>
      <c r="J3749" s="125"/>
      <c r="K3749" s="125"/>
      <c r="L3749" s="121"/>
      <c r="M3749" s="126"/>
      <c r="N3749" s="127">
        <f t="shared" si="320"/>
        <v>0</v>
      </c>
    </row>
    <row r="3750" spans="1:14" x14ac:dyDescent="0.25">
      <c r="A3750" s="121" t="s">
        <v>105</v>
      </c>
      <c r="B3750" s="121" t="s">
        <v>107</v>
      </c>
      <c r="C3750" s="62">
        <f>VLOOKUP(B3750,合并仓明细!$D$2:$F$74,3,0)</f>
        <v>244</v>
      </c>
      <c r="D3750" s="122" t="s">
        <v>414</v>
      </c>
      <c r="E3750" s="123">
        <v>45951</v>
      </c>
      <c r="F3750" s="121" t="s">
        <v>67</v>
      </c>
      <c r="G3750" s="121">
        <v>3521.9772899999998</v>
      </c>
      <c r="H3750" s="124"/>
      <c r="I3750" s="125"/>
      <c r="J3750" s="125"/>
      <c r="K3750" s="125"/>
      <c r="L3750" s="121"/>
      <c r="M3750" s="126"/>
      <c r="N3750" s="121"/>
    </row>
    <row r="3751" spans="1:14" x14ac:dyDescent="0.25">
      <c r="A3751" s="121" t="s">
        <v>105</v>
      </c>
      <c r="B3751" s="121" t="s">
        <v>107</v>
      </c>
      <c r="C3751" s="62">
        <f>VLOOKUP(B3751,合并仓明细!$D$2:$F$74,3,0)</f>
        <v>244</v>
      </c>
      <c r="D3751" s="122" t="s">
        <v>414</v>
      </c>
      <c r="E3751" s="123">
        <v>45951</v>
      </c>
      <c r="F3751" s="121" t="s">
        <v>66</v>
      </c>
      <c r="G3751" s="121">
        <v>248.53589972000003</v>
      </c>
      <c r="H3751" s="124"/>
      <c r="I3751" s="125"/>
      <c r="J3751" s="125"/>
      <c r="K3751" s="125"/>
      <c r="L3751" s="121"/>
      <c r="M3751" s="126"/>
      <c r="N3751" s="121"/>
    </row>
    <row r="3752" spans="1:14" x14ac:dyDescent="0.25">
      <c r="A3752" s="121" t="s">
        <v>105</v>
      </c>
      <c r="B3752" s="121" t="s">
        <v>107</v>
      </c>
      <c r="C3752" s="62">
        <f>VLOOKUP(B3752,合并仓明细!$D$2:$F$74,3,0)</f>
        <v>244</v>
      </c>
      <c r="D3752" s="122" t="s">
        <v>414</v>
      </c>
      <c r="E3752" s="123">
        <v>45968</v>
      </c>
      <c r="F3752" s="121" t="s">
        <v>67</v>
      </c>
      <c r="G3752" s="121">
        <v>150.19445999999999</v>
      </c>
      <c r="H3752" s="124">
        <v>1.8169871358399998</v>
      </c>
      <c r="I3752" s="38">
        <f>IF(H3752&gt;30,QUOTIENT(H3752,30)*VLOOKUP(D3752,'报价表-配送'!$B$54:$I$58,8,0),0)+IF(AND(MOD(H3752,30)&gt;18,MOD(H3752,30)&lt;=30),1,0)*VLOOKUP(D3752,'报价表-配送'!$B$54:$I$58,8,0)</f>
        <v>0</v>
      </c>
      <c r="J3752" s="38">
        <f>IF(AND(MOD(H3752,30)&gt;8,MOD(H3752,30)&lt;=18),1*VLOOKUP(D3752,'报价表-配送'!$B$54:$I$58,7,0),0)</f>
        <v>0</v>
      </c>
      <c r="K3752" s="38">
        <f>IF(AND(MOD(H3752,30)&lt;=8,MOD(H3752,30)&gt;0),1,0)*VLOOKUP(D3752,'报价表-配送'!$B$54:$I$58,6,0)</f>
        <v>0</v>
      </c>
      <c r="L3752" s="121"/>
      <c r="M3752" s="126"/>
      <c r="N3752" s="127">
        <f t="shared" ref="N3752" si="321">SUM(I3752:L3752)</f>
        <v>0</v>
      </c>
    </row>
    <row r="3753" spans="1:14" x14ac:dyDescent="0.25">
      <c r="A3753" s="121" t="s">
        <v>105</v>
      </c>
      <c r="B3753" s="121" t="s">
        <v>107</v>
      </c>
      <c r="C3753" s="62">
        <f>VLOOKUP(B3753,合并仓明细!$D$2:$F$74,3,0)</f>
        <v>244</v>
      </c>
      <c r="D3753" s="122" t="s">
        <v>414</v>
      </c>
      <c r="E3753" s="123">
        <v>45968</v>
      </c>
      <c r="F3753" s="121" t="s">
        <v>66</v>
      </c>
      <c r="G3753" s="121">
        <v>1666.7926758399999</v>
      </c>
      <c r="H3753" s="124"/>
      <c r="I3753" s="125"/>
      <c r="J3753" s="125"/>
      <c r="K3753" s="125"/>
      <c r="L3753" s="121"/>
      <c r="M3753" s="126"/>
      <c r="N3753" s="121"/>
    </row>
    <row r="3754" spans="1:14" x14ac:dyDescent="0.25">
      <c r="A3754" s="121" t="s">
        <v>105</v>
      </c>
      <c r="B3754" s="121" t="s">
        <v>107</v>
      </c>
      <c r="C3754" s="62">
        <f>VLOOKUP(B3754,合并仓明细!$D$2:$F$74,3,0)</f>
        <v>244</v>
      </c>
      <c r="D3754" s="122" t="s">
        <v>414</v>
      </c>
      <c r="E3754" s="123">
        <v>45978</v>
      </c>
      <c r="F3754" s="121" t="s">
        <v>67</v>
      </c>
      <c r="G3754" s="121">
        <v>2179.9043039999997</v>
      </c>
      <c r="H3754" s="124">
        <v>2.5944013372999999</v>
      </c>
      <c r="I3754" s="38">
        <f>IF(H3754&gt;30,QUOTIENT(H3754,30)*VLOOKUP(D3754,'报价表-配送'!$B$54:$I$58,8,0),0)+IF(AND(MOD(H3754,30)&gt;18,MOD(H3754,30)&lt;=30),1,0)*VLOOKUP(D3754,'报价表-配送'!$B$54:$I$58,8,0)</f>
        <v>0</v>
      </c>
      <c r="J3754" s="38">
        <f>IF(AND(MOD(H3754,30)&gt;8,MOD(H3754,30)&lt;=18),1*VLOOKUP(D3754,'报价表-配送'!$B$54:$I$58,7,0),0)</f>
        <v>0</v>
      </c>
      <c r="K3754" s="38">
        <f>IF(AND(MOD(H3754,30)&lt;=8,MOD(H3754,30)&gt;0),1,0)*VLOOKUP(D3754,'报价表-配送'!$B$54:$I$58,6,0)</f>
        <v>0</v>
      </c>
      <c r="L3754" s="121"/>
      <c r="M3754" s="126"/>
      <c r="N3754" s="127">
        <f t="shared" ref="N3754" si="322">SUM(I3754:L3754)</f>
        <v>0</v>
      </c>
    </row>
    <row r="3755" spans="1:14" x14ac:dyDescent="0.25">
      <c r="A3755" s="121" t="s">
        <v>105</v>
      </c>
      <c r="B3755" s="121" t="s">
        <v>107</v>
      </c>
      <c r="C3755" s="62">
        <f>VLOOKUP(B3755,合并仓明细!$D$2:$F$74,3,0)</f>
        <v>244</v>
      </c>
      <c r="D3755" s="122" t="s">
        <v>414</v>
      </c>
      <c r="E3755" s="123">
        <v>45978</v>
      </c>
      <c r="F3755" s="121" t="s">
        <v>66</v>
      </c>
      <c r="G3755" s="121">
        <v>414.4970333</v>
      </c>
      <c r="H3755" s="124"/>
      <c r="I3755" s="125"/>
      <c r="J3755" s="125"/>
      <c r="K3755" s="125"/>
      <c r="L3755" s="121"/>
      <c r="M3755" s="126"/>
      <c r="N3755" s="121"/>
    </row>
    <row r="3756" spans="1:14" x14ac:dyDescent="0.25">
      <c r="A3756" s="121" t="s">
        <v>105</v>
      </c>
      <c r="B3756" s="121" t="s">
        <v>107</v>
      </c>
      <c r="C3756" s="62">
        <f>VLOOKUP(B3756,合并仓明细!$D$2:$F$74,3,0)</f>
        <v>244</v>
      </c>
      <c r="D3756" s="122" t="s">
        <v>414</v>
      </c>
      <c r="E3756" s="123">
        <v>45981</v>
      </c>
      <c r="F3756" s="121" t="s">
        <v>68</v>
      </c>
      <c r="G3756" s="121">
        <v>1268.76</v>
      </c>
      <c r="H3756" s="124">
        <v>1.57140749976</v>
      </c>
      <c r="I3756" s="46">
        <f>ROUNDUP(H3756/30,0)*VLOOKUP(D3756,'报价表-配送'!$B$54:$I$58,8,0)</f>
        <v>0</v>
      </c>
      <c r="J3756" s="125"/>
      <c r="K3756" s="125"/>
      <c r="L3756" s="121"/>
      <c r="M3756" s="126"/>
      <c r="N3756" s="127">
        <f t="shared" ref="N3756" si="323">SUM(I3756:L3756)</f>
        <v>0</v>
      </c>
    </row>
    <row r="3757" spans="1:14" x14ac:dyDescent="0.25">
      <c r="A3757" s="121" t="s">
        <v>105</v>
      </c>
      <c r="B3757" s="121" t="s">
        <v>107</v>
      </c>
      <c r="C3757" s="62">
        <f>VLOOKUP(B3757,合并仓明细!$D$2:$F$74,3,0)</f>
        <v>244</v>
      </c>
      <c r="D3757" s="122" t="s">
        <v>414</v>
      </c>
      <c r="E3757" s="123">
        <v>45981</v>
      </c>
      <c r="F3757" s="121" t="s">
        <v>66</v>
      </c>
      <c r="G3757" s="121">
        <v>302.64749976000002</v>
      </c>
      <c r="H3757" s="124"/>
      <c r="I3757" s="125"/>
      <c r="J3757" s="125"/>
      <c r="K3757" s="125"/>
      <c r="L3757" s="121"/>
      <c r="M3757" s="126"/>
      <c r="N3757" s="121"/>
    </row>
    <row r="3758" spans="1:14" x14ac:dyDescent="0.25">
      <c r="A3758" s="121" t="s">
        <v>105</v>
      </c>
      <c r="B3758" s="121" t="s">
        <v>107</v>
      </c>
      <c r="C3758" s="62">
        <f>VLOOKUP(B3758,合并仓明细!$D$2:$F$74,3,0)</f>
        <v>244</v>
      </c>
      <c r="D3758" s="122" t="s">
        <v>414</v>
      </c>
      <c r="E3758" s="123">
        <v>45987</v>
      </c>
      <c r="F3758" s="121" t="s">
        <v>66</v>
      </c>
      <c r="G3758" s="121">
        <v>378.88499999999993</v>
      </c>
      <c r="H3758" s="124">
        <v>0.37888499999999992</v>
      </c>
      <c r="I3758" s="125"/>
      <c r="J3758" s="125"/>
      <c r="K3758" s="125"/>
      <c r="L3758" s="37">
        <f>IF(H3758&gt;30,QUOTIENT(H3758,30)*VLOOKUP(D3758,'报价表-配送'!$B$54:$I$58,8,0),0)+IF(AND(MOD(H3758,30)&gt;18,MOD(H3758,30)&lt;=30),1,0)*VLOOKUP(D3758,'报价表-配送'!$B$54:$I$58,8,0)+IF(AND(MOD(H3758,30)&gt;8,MOD(H3758,30)&lt;=18),1*VLOOKUP(D3758,'报价表-配送'!$B$54:$I$58,7,0),0)+IF(AND(MOD(H3758,30)&lt;=8,MOD(H3758,30)&gt;2.5),1,0)*VLOOKUP(D3758,'报价表-配送'!$B$54:$I$58,6,0)+IF(AND(MOD(H3758,30)&lt;=2.5,MOD(H3758,30)&gt;=1.5),1,0)*VLOOKUP(D3758,'报价表-配送'!$B$54:$I$58,5,0)</f>
        <v>0</v>
      </c>
      <c r="M3758" s="39">
        <f>IF(AND(MOD(H3758,30)&lt;1.5,MOD(H3758,30)&gt;=0.5),H3758,0)*VLOOKUP(D3758,'报价表-配送'!$B$54:$I$58,4,0)*1000+IF(AND(MOD(H3758,30)&lt;0.5,MOD(H3758,30)&gt;=0.02),H3758,0)*VLOOKUP(D3758,'报价表-配送'!$B$54:$I$58,3,0)*1000+IF(AND(MOD(H3758,30)&lt;0.02),H3758,0)*VLOOKUP(D3758,'报价表-配送'!$B$54:$I$58,2,0)*1000</f>
        <v>0</v>
      </c>
      <c r="N3758" s="127">
        <f t="shared" ref="N3758:N3759" si="324">SUM(I3758:L3758)</f>
        <v>0</v>
      </c>
    </row>
    <row r="3759" spans="1:14" x14ac:dyDescent="0.25">
      <c r="A3759" s="121" t="s">
        <v>105</v>
      </c>
      <c r="B3759" s="121" t="s">
        <v>107</v>
      </c>
      <c r="C3759" s="62">
        <f>VLOOKUP(B3759,合并仓明细!$D$2:$F$74,3,0)</f>
        <v>244</v>
      </c>
      <c r="D3759" s="122" t="s">
        <v>414</v>
      </c>
      <c r="E3759" s="123">
        <v>45999</v>
      </c>
      <c r="F3759" s="121" t="s">
        <v>68</v>
      </c>
      <c r="G3759" s="121">
        <v>821.75375999999994</v>
      </c>
      <c r="H3759" s="124">
        <v>1.7464149536999998</v>
      </c>
      <c r="I3759" s="46">
        <f>ROUNDUP(H3759/30,0)*VLOOKUP(D3759,'报价表-配送'!$B$54:$I$58,8,0)</f>
        <v>0</v>
      </c>
      <c r="J3759" s="125"/>
      <c r="K3759" s="125"/>
      <c r="L3759" s="121"/>
      <c r="M3759" s="126"/>
      <c r="N3759" s="127">
        <f t="shared" si="324"/>
        <v>0</v>
      </c>
    </row>
    <row r="3760" spans="1:14" x14ac:dyDescent="0.25">
      <c r="A3760" s="121" t="s">
        <v>105</v>
      </c>
      <c r="B3760" s="121" t="s">
        <v>107</v>
      </c>
      <c r="C3760" s="62">
        <f>VLOOKUP(B3760,合并仓明细!$D$2:$F$74,3,0)</f>
        <v>244</v>
      </c>
      <c r="D3760" s="122" t="s">
        <v>414</v>
      </c>
      <c r="E3760" s="123">
        <v>45999</v>
      </c>
      <c r="F3760" s="121" t="s">
        <v>67</v>
      </c>
      <c r="G3760" s="121">
        <v>604.91183999999998</v>
      </c>
      <c r="H3760" s="124"/>
      <c r="I3760" s="125"/>
      <c r="J3760" s="125"/>
      <c r="K3760" s="125"/>
      <c r="L3760" s="121"/>
      <c r="M3760" s="126"/>
      <c r="N3760" s="121"/>
    </row>
    <row r="3761" spans="1:14" x14ac:dyDescent="0.25">
      <c r="A3761" s="121" t="s">
        <v>105</v>
      </c>
      <c r="B3761" s="121" t="s">
        <v>107</v>
      </c>
      <c r="C3761" s="62">
        <f>VLOOKUP(B3761,合并仓明细!$D$2:$F$74,3,0)</f>
        <v>244</v>
      </c>
      <c r="D3761" s="122" t="s">
        <v>414</v>
      </c>
      <c r="E3761" s="123">
        <v>45999</v>
      </c>
      <c r="F3761" s="121" t="s">
        <v>66</v>
      </c>
      <c r="G3761" s="121">
        <v>319.74935370000003</v>
      </c>
      <c r="H3761" s="124"/>
      <c r="I3761" s="125"/>
      <c r="J3761" s="125"/>
      <c r="K3761" s="125"/>
      <c r="L3761" s="121"/>
      <c r="M3761" s="126"/>
      <c r="N3761" s="121"/>
    </row>
    <row r="3762" spans="1:14" x14ac:dyDescent="0.25">
      <c r="A3762" s="121" t="s">
        <v>105</v>
      </c>
      <c r="B3762" s="121" t="s">
        <v>107</v>
      </c>
      <c r="C3762" s="62">
        <f>VLOOKUP(B3762,合并仓明细!$D$2:$F$74,3,0)</f>
        <v>244</v>
      </c>
      <c r="D3762" s="122" t="s">
        <v>414</v>
      </c>
      <c r="E3762" s="123">
        <v>46002</v>
      </c>
      <c r="F3762" s="121" t="s">
        <v>66</v>
      </c>
      <c r="G3762" s="121">
        <v>33.200000000000003</v>
      </c>
      <c r="H3762" s="124">
        <v>3.32E-2</v>
      </c>
      <c r="I3762" s="125"/>
      <c r="J3762" s="125"/>
      <c r="K3762" s="125"/>
      <c r="L3762" s="37">
        <f>IF(H3762&gt;30,QUOTIENT(H3762,30)*VLOOKUP(D3762,'报价表-配送'!$B$54:$I$58,8,0),0)+IF(AND(MOD(H3762,30)&gt;18,MOD(H3762,30)&lt;=30),1,0)*VLOOKUP(D3762,'报价表-配送'!$B$54:$I$58,8,0)+IF(AND(MOD(H3762,30)&gt;8,MOD(H3762,30)&lt;=18),1*VLOOKUP(D3762,'报价表-配送'!$B$54:$I$58,7,0),0)+IF(AND(MOD(H3762,30)&lt;=8,MOD(H3762,30)&gt;2.5),1,0)*VLOOKUP(D3762,'报价表-配送'!$B$54:$I$58,6,0)+IF(AND(MOD(H3762,30)&lt;=2.5,MOD(H3762,30)&gt;=1.5),1,0)*VLOOKUP(D3762,'报价表-配送'!$B$54:$I$58,5,0)</f>
        <v>0</v>
      </c>
      <c r="M3762" s="39">
        <f>IF(AND(MOD(H3762,30)&lt;1.5,MOD(H3762,30)&gt;=0.5),H3762,0)*VLOOKUP(D3762,'报价表-配送'!$B$54:$I$58,4,0)*1000+IF(AND(MOD(H3762,30)&lt;0.5,MOD(H3762,30)&gt;=0.02),H3762,0)*VLOOKUP(D3762,'报价表-配送'!$B$54:$I$58,3,0)*1000+IF(AND(MOD(H3762,30)&lt;0.02),H3762,0)*VLOOKUP(D3762,'报价表-配送'!$B$54:$I$58,2,0)*1000</f>
        <v>0</v>
      </c>
      <c r="N3762" s="127">
        <f t="shared" ref="N3762:N3763" si="325">SUM(I3762:L3762)</f>
        <v>0</v>
      </c>
    </row>
    <row r="3763" spans="1:14" x14ac:dyDescent="0.25">
      <c r="A3763" s="121" t="s">
        <v>105</v>
      </c>
      <c r="B3763" s="121" t="s">
        <v>107</v>
      </c>
      <c r="C3763" s="62">
        <f>VLOOKUP(B3763,合并仓明细!$D$2:$F$74,3,0)</f>
        <v>244</v>
      </c>
      <c r="D3763" s="122" t="s">
        <v>414</v>
      </c>
      <c r="E3763" s="123">
        <v>46010</v>
      </c>
      <c r="F3763" s="121" t="s">
        <v>68</v>
      </c>
      <c r="G3763" s="121">
        <v>927.99695999999994</v>
      </c>
      <c r="H3763" s="124">
        <v>4.6826647283799989</v>
      </c>
      <c r="I3763" s="46">
        <f>ROUNDUP(H3763/30,0)*VLOOKUP(D3763,'报价表-配送'!$B$54:$I$58,8,0)</f>
        <v>0</v>
      </c>
      <c r="J3763" s="125"/>
      <c r="K3763" s="125"/>
      <c r="L3763" s="121"/>
      <c r="M3763" s="126"/>
      <c r="N3763" s="127">
        <f t="shared" si="325"/>
        <v>0</v>
      </c>
    </row>
    <row r="3764" spans="1:14" x14ac:dyDescent="0.25">
      <c r="A3764" s="121" t="s">
        <v>105</v>
      </c>
      <c r="B3764" s="121" t="s">
        <v>107</v>
      </c>
      <c r="C3764" s="62">
        <f>VLOOKUP(B3764,合并仓明细!$D$2:$F$74,3,0)</f>
        <v>244</v>
      </c>
      <c r="D3764" s="122" t="s">
        <v>414</v>
      </c>
      <c r="E3764" s="123">
        <v>46010</v>
      </c>
      <c r="F3764" s="121" t="s">
        <v>67</v>
      </c>
      <c r="G3764" s="121">
        <v>3287.7262919999998</v>
      </c>
      <c r="H3764" s="124"/>
      <c r="I3764" s="125"/>
      <c r="J3764" s="125"/>
      <c r="K3764" s="125"/>
      <c r="L3764" s="121"/>
      <c r="M3764" s="126"/>
      <c r="N3764" s="121"/>
    </row>
    <row r="3765" spans="1:14" x14ac:dyDescent="0.25">
      <c r="A3765" s="121" t="s">
        <v>105</v>
      </c>
      <c r="B3765" s="121" t="s">
        <v>107</v>
      </c>
      <c r="C3765" s="62">
        <f>VLOOKUP(B3765,合并仓明细!$D$2:$F$74,3,0)</f>
        <v>244</v>
      </c>
      <c r="D3765" s="122" t="s">
        <v>414</v>
      </c>
      <c r="E3765" s="123">
        <v>46010</v>
      </c>
      <c r="F3765" s="121" t="s">
        <v>66</v>
      </c>
      <c r="G3765" s="121">
        <v>466.94147637999993</v>
      </c>
      <c r="H3765" s="124"/>
      <c r="I3765" s="125"/>
      <c r="J3765" s="125"/>
      <c r="K3765" s="125"/>
      <c r="L3765" s="121"/>
      <c r="M3765" s="126"/>
      <c r="N3765" s="121"/>
    </row>
    <row r="3766" spans="1:14" x14ac:dyDescent="0.25">
      <c r="A3766" s="121" t="s">
        <v>105</v>
      </c>
      <c r="B3766" s="121" t="s">
        <v>107</v>
      </c>
      <c r="C3766" s="62">
        <f>VLOOKUP(B3766,合并仓明细!$D$2:$F$74,3,0)</f>
        <v>244</v>
      </c>
      <c r="D3766" s="122" t="s">
        <v>414</v>
      </c>
      <c r="E3766" s="123">
        <v>46015</v>
      </c>
      <c r="F3766" s="121" t="s">
        <v>66</v>
      </c>
      <c r="G3766" s="121">
        <v>57.400000000000006</v>
      </c>
      <c r="H3766" s="124">
        <v>5.7400000000000007E-2</v>
      </c>
      <c r="I3766" s="125"/>
      <c r="J3766" s="125"/>
      <c r="K3766" s="125"/>
      <c r="L3766" s="37">
        <f>IF(H3766&gt;30,QUOTIENT(H3766,30)*VLOOKUP(D3766,'报价表-配送'!$B$54:$I$58,8,0),0)+IF(AND(MOD(H3766,30)&gt;18,MOD(H3766,30)&lt;=30),1,0)*VLOOKUP(D3766,'报价表-配送'!$B$54:$I$58,8,0)+IF(AND(MOD(H3766,30)&gt;8,MOD(H3766,30)&lt;=18),1*VLOOKUP(D3766,'报价表-配送'!$B$54:$I$58,7,0),0)+IF(AND(MOD(H3766,30)&lt;=8,MOD(H3766,30)&gt;2.5),1,0)*VLOOKUP(D3766,'报价表-配送'!$B$54:$I$58,6,0)+IF(AND(MOD(H3766,30)&lt;=2.5,MOD(H3766,30)&gt;=1.5),1,0)*VLOOKUP(D3766,'报价表-配送'!$B$54:$I$58,5,0)</f>
        <v>0</v>
      </c>
      <c r="M3766" s="39">
        <f>IF(AND(MOD(H3766,30)&lt;1.5,MOD(H3766,30)&gt;=0.5),H3766,0)*VLOOKUP(D3766,'报价表-配送'!$B$54:$I$58,4,0)*1000+IF(AND(MOD(H3766,30)&lt;0.5,MOD(H3766,30)&gt;=0.02),H3766,0)*VLOOKUP(D3766,'报价表-配送'!$B$54:$I$58,3,0)*1000+IF(AND(MOD(H3766,30)&lt;0.02),H3766,0)*VLOOKUP(D3766,'报价表-配送'!$B$54:$I$58,2,0)*1000</f>
        <v>0</v>
      </c>
      <c r="N3766" s="127">
        <f t="shared" ref="N3766:N3771" si="326">SUM(I3766:L3766)</f>
        <v>0</v>
      </c>
    </row>
    <row r="3767" spans="1:14" x14ac:dyDescent="0.25">
      <c r="A3767" s="121" t="s">
        <v>105</v>
      </c>
      <c r="B3767" s="121" t="s">
        <v>107</v>
      </c>
      <c r="C3767" s="62">
        <f>VLOOKUP(B3767,合并仓明细!$D$2:$F$74,3,0)</f>
        <v>244</v>
      </c>
      <c r="D3767" s="122" t="s">
        <v>414</v>
      </c>
      <c r="E3767" s="123">
        <v>46029</v>
      </c>
      <c r="F3767" s="121" t="s">
        <v>66</v>
      </c>
      <c r="G3767" s="121">
        <v>34.806666660000005</v>
      </c>
      <c r="H3767" s="124">
        <v>3.4806666660000006E-2</v>
      </c>
      <c r="I3767" s="125"/>
      <c r="J3767" s="125"/>
      <c r="K3767" s="125"/>
      <c r="L3767" s="37">
        <f>IF(H3767&gt;30,QUOTIENT(H3767,30)*VLOOKUP(D3767,'报价表-配送'!$B$54:$I$58,8,0),0)+IF(AND(MOD(H3767,30)&gt;18,MOD(H3767,30)&lt;=30),1,0)*VLOOKUP(D3767,'报价表-配送'!$B$54:$I$58,8,0)+IF(AND(MOD(H3767,30)&gt;8,MOD(H3767,30)&lt;=18),1*VLOOKUP(D3767,'报价表-配送'!$B$54:$I$58,7,0),0)+IF(AND(MOD(H3767,30)&lt;=8,MOD(H3767,30)&gt;2.5),1,0)*VLOOKUP(D3767,'报价表-配送'!$B$54:$I$58,6,0)+IF(AND(MOD(H3767,30)&lt;=2.5,MOD(H3767,30)&gt;=1.5),1,0)*VLOOKUP(D3767,'报价表-配送'!$B$54:$I$58,5,0)</f>
        <v>0</v>
      </c>
      <c r="M3767" s="39">
        <f>IF(AND(MOD(H3767,30)&lt;1.5,MOD(H3767,30)&gt;=0.5),H3767,0)*VLOOKUP(D3767,'报价表-配送'!$B$54:$I$58,4,0)*1000+IF(AND(MOD(H3767,30)&lt;0.5,MOD(H3767,30)&gt;=0.02),H3767,0)*VLOOKUP(D3767,'报价表-配送'!$B$54:$I$58,3,0)*1000+IF(AND(MOD(H3767,30)&lt;0.02),H3767,0)*VLOOKUP(D3767,'报价表-配送'!$B$54:$I$58,2,0)*1000</f>
        <v>0</v>
      </c>
      <c r="N3767" s="127">
        <f t="shared" si="326"/>
        <v>0</v>
      </c>
    </row>
    <row r="3768" spans="1:14" x14ac:dyDescent="0.25">
      <c r="A3768" s="121" t="s">
        <v>105</v>
      </c>
      <c r="B3768" s="121" t="s">
        <v>107</v>
      </c>
      <c r="C3768" s="62">
        <f>VLOOKUP(B3768,合并仓明细!$D$2:$F$74,3,0)</f>
        <v>244</v>
      </c>
      <c r="D3768" s="122" t="s">
        <v>414</v>
      </c>
      <c r="E3768" s="123">
        <v>46048</v>
      </c>
      <c r="F3768" s="121" t="s">
        <v>66</v>
      </c>
      <c r="G3768" s="121">
        <v>5.0866666600000006</v>
      </c>
      <c r="H3768" s="124">
        <v>5.0866666600000009E-3</v>
      </c>
      <c r="I3768" s="125"/>
      <c r="J3768" s="125"/>
      <c r="K3768" s="125"/>
      <c r="L3768" s="37">
        <f>IF(H3768&gt;30,QUOTIENT(H3768,30)*VLOOKUP(D3768,'报价表-配送'!$B$54:$I$58,8,0),0)+IF(AND(MOD(H3768,30)&gt;18,MOD(H3768,30)&lt;=30),1,0)*VLOOKUP(D3768,'报价表-配送'!$B$54:$I$58,8,0)+IF(AND(MOD(H3768,30)&gt;8,MOD(H3768,30)&lt;=18),1*VLOOKUP(D3768,'报价表-配送'!$B$54:$I$58,7,0),0)+IF(AND(MOD(H3768,30)&lt;=8,MOD(H3768,30)&gt;2.5),1,0)*VLOOKUP(D3768,'报价表-配送'!$B$54:$I$58,6,0)+IF(AND(MOD(H3768,30)&lt;=2.5,MOD(H3768,30)&gt;=1.5),1,0)*VLOOKUP(D3768,'报价表-配送'!$B$54:$I$58,5,0)</f>
        <v>0</v>
      </c>
      <c r="M3768" s="39">
        <f>IF(AND(MOD(H3768,30)&lt;1.5,MOD(H3768,30)&gt;=0.5),H3768,0)*VLOOKUP(D3768,'报价表-配送'!$B$54:$I$58,4,0)*1000+IF(AND(MOD(H3768,30)&lt;0.5,MOD(H3768,30)&gt;=0.02),H3768,0)*VLOOKUP(D3768,'报价表-配送'!$B$54:$I$58,3,0)*1000+IF(AND(MOD(H3768,30)&lt;0.02),H3768,0)*VLOOKUP(D3768,'报价表-配送'!$B$54:$I$58,2,0)*1000</f>
        <v>0</v>
      </c>
      <c r="N3768" s="127">
        <f t="shared" si="326"/>
        <v>0</v>
      </c>
    </row>
    <row r="3769" spans="1:14" x14ac:dyDescent="0.25">
      <c r="A3769" s="121" t="s">
        <v>105</v>
      </c>
      <c r="B3769" s="121" t="s">
        <v>107</v>
      </c>
      <c r="C3769" s="62">
        <f>VLOOKUP(B3769,合并仓明细!$D$2:$F$74,3,0)</f>
        <v>244</v>
      </c>
      <c r="D3769" s="122" t="s">
        <v>414</v>
      </c>
      <c r="E3769" s="123">
        <v>46063</v>
      </c>
      <c r="F3769" s="121" t="s">
        <v>66</v>
      </c>
      <c r="G3769" s="121">
        <v>8.6</v>
      </c>
      <c r="H3769" s="124">
        <v>8.6E-3</v>
      </c>
      <c r="I3769" s="125"/>
      <c r="J3769" s="125"/>
      <c r="K3769" s="125"/>
      <c r="L3769" s="37">
        <f>IF(H3769&gt;30,QUOTIENT(H3769,30)*VLOOKUP(D3769,'报价表-配送'!$B$54:$I$58,8,0),0)+IF(AND(MOD(H3769,30)&gt;18,MOD(H3769,30)&lt;=30),1,0)*VLOOKUP(D3769,'报价表-配送'!$B$54:$I$58,8,0)+IF(AND(MOD(H3769,30)&gt;8,MOD(H3769,30)&lt;=18),1*VLOOKUP(D3769,'报价表-配送'!$B$54:$I$58,7,0),0)+IF(AND(MOD(H3769,30)&lt;=8,MOD(H3769,30)&gt;2.5),1,0)*VLOOKUP(D3769,'报价表-配送'!$B$54:$I$58,6,0)+IF(AND(MOD(H3769,30)&lt;=2.5,MOD(H3769,30)&gt;=1.5),1,0)*VLOOKUP(D3769,'报价表-配送'!$B$54:$I$58,5,0)</f>
        <v>0</v>
      </c>
      <c r="M3769" s="39">
        <f>IF(AND(MOD(H3769,30)&lt;1.5,MOD(H3769,30)&gt;=0.5),H3769,0)*VLOOKUP(D3769,'报价表-配送'!$B$54:$I$58,4,0)*1000+IF(AND(MOD(H3769,30)&lt;0.5,MOD(H3769,30)&gt;=0.02),H3769,0)*VLOOKUP(D3769,'报价表-配送'!$B$54:$I$58,3,0)*1000+IF(AND(MOD(H3769,30)&lt;0.02),H3769,0)*VLOOKUP(D3769,'报价表-配送'!$B$54:$I$58,2,0)*1000</f>
        <v>0</v>
      </c>
      <c r="N3769" s="127">
        <f t="shared" si="326"/>
        <v>0</v>
      </c>
    </row>
    <row r="3770" spans="1:14" x14ac:dyDescent="0.25">
      <c r="A3770" s="121" t="s">
        <v>105</v>
      </c>
      <c r="B3770" s="121" t="s">
        <v>107</v>
      </c>
      <c r="C3770" s="62">
        <f>VLOOKUP(B3770,合并仓明细!$D$2:$F$74,3,0)</f>
        <v>244</v>
      </c>
      <c r="D3770" s="122" t="s">
        <v>414</v>
      </c>
      <c r="E3770" s="123">
        <v>46091</v>
      </c>
      <c r="F3770" s="121" t="s">
        <v>66</v>
      </c>
      <c r="G3770" s="121">
        <v>35.15</v>
      </c>
      <c r="H3770" s="124">
        <v>3.5150000000000001E-2</v>
      </c>
      <c r="I3770" s="125"/>
      <c r="J3770" s="125"/>
      <c r="K3770" s="125"/>
      <c r="L3770" s="37">
        <f>IF(H3770&gt;30,QUOTIENT(H3770,30)*VLOOKUP(D3770,'报价表-配送'!$B$54:$I$58,8,0),0)+IF(AND(MOD(H3770,30)&gt;18,MOD(H3770,30)&lt;=30),1,0)*VLOOKUP(D3770,'报价表-配送'!$B$54:$I$58,8,0)+IF(AND(MOD(H3770,30)&gt;8,MOD(H3770,30)&lt;=18),1*VLOOKUP(D3770,'报价表-配送'!$B$54:$I$58,7,0),0)+IF(AND(MOD(H3770,30)&lt;=8,MOD(H3770,30)&gt;2.5),1,0)*VLOOKUP(D3770,'报价表-配送'!$B$54:$I$58,6,0)+IF(AND(MOD(H3770,30)&lt;=2.5,MOD(H3770,30)&gt;=1.5),1,0)*VLOOKUP(D3770,'报价表-配送'!$B$54:$I$58,5,0)</f>
        <v>0</v>
      </c>
      <c r="M3770" s="39">
        <f>IF(AND(MOD(H3770,30)&lt;1.5,MOD(H3770,30)&gt;=0.5),H3770,0)*VLOOKUP(D3770,'报价表-配送'!$B$54:$I$58,4,0)*1000+IF(AND(MOD(H3770,30)&lt;0.5,MOD(H3770,30)&gt;=0.02),H3770,0)*VLOOKUP(D3770,'报价表-配送'!$B$54:$I$58,3,0)*1000+IF(AND(MOD(H3770,30)&lt;0.02),H3770,0)*VLOOKUP(D3770,'报价表-配送'!$B$54:$I$58,2,0)*1000</f>
        <v>0</v>
      </c>
      <c r="N3770" s="127">
        <f t="shared" si="326"/>
        <v>0</v>
      </c>
    </row>
    <row r="3771" spans="1:14" x14ac:dyDescent="0.25">
      <c r="A3771" s="121" t="s">
        <v>105</v>
      </c>
      <c r="B3771" s="121" t="s">
        <v>108</v>
      </c>
      <c r="C3771" s="62">
        <f>VLOOKUP(B3771,合并仓明细!$D$2:$F$74,3,0)</f>
        <v>38</v>
      </c>
      <c r="D3771" s="122" t="s">
        <v>393</v>
      </c>
      <c r="E3771" s="123">
        <v>45946</v>
      </c>
      <c r="F3771" s="121" t="s">
        <v>68</v>
      </c>
      <c r="G3771" s="121">
        <v>249.76799999999997</v>
      </c>
      <c r="H3771" s="124">
        <v>5.7552407310399998</v>
      </c>
      <c r="I3771" s="46">
        <f>ROUNDUP(H3771/30,0)*VLOOKUP(D3771,'报价表-配送'!$B$54:$I$58,8,0)</f>
        <v>0</v>
      </c>
      <c r="J3771" s="125"/>
      <c r="K3771" s="125"/>
      <c r="L3771" s="121"/>
      <c r="M3771" s="126"/>
      <c r="N3771" s="127">
        <f t="shared" si="326"/>
        <v>0</v>
      </c>
    </row>
    <row r="3772" spans="1:14" x14ac:dyDescent="0.25">
      <c r="A3772" s="121" t="s">
        <v>105</v>
      </c>
      <c r="B3772" s="121" t="s">
        <v>108</v>
      </c>
      <c r="C3772" s="62">
        <f>VLOOKUP(B3772,合并仓明细!$D$2:$F$74,3,0)</f>
        <v>38</v>
      </c>
      <c r="D3772" s="122" t="s">
        <v>393</v>
      </c>
      <c r="E3772" s="123">
        <v>45946</v>
      </c>
      <c r="F3772" s="121" t="s">
        <v>67</v>
      </c>
      <c r="G3772" s="121">
        <v>3253.0913909999999</v>
      </c>
      <c r="H3772" s="124"/>
      <c r="I3772" s="125"/>
      <c r="J3772" s="125"/>
      <c r="K3772" s="125"/>
      <c r="L3772" s="121"/>
      <c r="M3772" s="126"/>
      <c r="N3772" s="121"/>
    </row>
    <row r="3773" spans="1:14" x14ac:dyDescent="0.25">
      <c r="A3773" s="121" t="s">
        <v>105</v>
      </c>
      <c r="B3773" s="121" t="s">
        <v>108</v>
      </c>
      <c r="C3773" s="62">
        <f>VLOOKUP(B3773,合并仓明细!$D$2:$F$74,3,0)</f>
        <v>38</v>
      </c>
      <c r="D3773" s="122" t="s">
        <v>393</v>
      </c>
      <c r="E3773" s="123">
        <v>45946</v>
      </c>
      <c r="F3773" s="121" t="s">
        <v>66</v>
      </c>
      <c r="G3773" s="121">
        <v>2252.3813400399995</v>
      </c>
      <c r="H3773" s="124"/>
      <c r="I3773" s="125"/>
      <c r="J3773" s="125"/>
      <c r="K3773" s="125"/>
      <c r="L3773" s="121"/>
      <c r="M3773" s="126"/>
      <c r="N3773" s="121"/>
    </row>
    <row r="3774" spans="1:14" x14ac:dyDescent="0.25">
      <c r="A3774" s="121" t="s">
        <v>105</v>
      </c>
      <c r="B3774" s="121" t="s">
        <v>108</v>
      </c>
      <c r="C3774" s="62">
        <f>VLOOKUP(B3774,合并仓明细!$D$2:$F$74,3,0)</f>
        <v>38</v>
      </c>
      <c r="D3774" s="122" t="s">
        <v>393</v>
      </c>
      <c r="E3774" s="123">
        <v>45954</v>
      </c>
      <c r="F3774" s="121" t="s">
        <v>68</v>
      </c>
      <c r="G3774" s="121">
        <v>131.73599999999999</v>
      </c>
      <c r="H3774" s="124">
        <v>2.7444468013500001</v>
      </c>
      <c r="I3774" s="46">
        <f>ROUNDUP(H3774/30,0)*VLOOKUP(D3774,'报价表-配送'!$B$54:$I$58,8,0)</f>
        <v>0</v>
      </c>
      <c r="J3774" s="125"/>
      <c r="K3774" s="125"/>
      <c r="L3774" s="121"/>
      <c r="M3774" s="126"/>
      <c r="N3774" s="127">
        <f t="shared" ref="N3774" si="327">SUM(I3774:L3774)</f>
        <v>0</v>
      </c>
    </row>
    <row r="3775" spans="1:14" x14ac:dyDescent="0.25">
      <c r="A3775" s="121" t="s">
        <v>105</v>
      </c>
      <c r="B3775" s="121" t="s">
        <v>108</v>
      </c>
      <c r="C3775" s="62">
        <f>VLOOKUP(B3775,合并仓明细!$D$2:$F$74,3,0)</f>
        <v>38</v>
      </c>
      <c r="D3775" s="122" t="s">
        <v>393</v>
      </c>
      <c r="E3775" s="123">
        <v>45954</v>
      </c>
      <c r="F3775" s="121" t="s">
        <v>67</v>
      </c>
      <c r="G3775" s="121">
        <v>2114.5639679999999</v>
      </c>
      <c r="H3775" s="124"/>
      <c r="I3775" s="125"/>
      <c r="J3775" s="125"/>
      <c r="K3775" s="125"/>
      <c r="L3775" s="121"/>
      <c r="M3775" s="126"/>
      <c r="N3775" s="121"/>
    </row>
    <row r="3776" spans="1:14" x14ac:dyDescent="0.25">
      <c r="A3776" s="121" t="s">
        <v>105</v>
      </c>
      <c r="B3776" s="121" t="s">
        <v>108</v>
      </c>
      <c r="C3776" s="62">
        <f>VLOOKUP(B3776,合并仓明细!$D$2:$F$74,3,0)</f>
        <v>38</v>
      </c>
      <c r="D3776" s="122" t="s">
        <v>393</v>
      </c>
      <c r="E3776" s="123">
        <v>45954</v>
      </c>
      <c r="F3776" s="121" t="s">
        <v>66</v>
      </c>
      <c r="G3776" s="121">
        <v>498.14683335000007</v>
      </c>
      <c r="H3776" s="124"/>
      <c r="I3776" s="125"/>
      <c r="J3776" s="125"/>
      <c r="K3776" s="125"/>
      <c r="L3776" s="121"/>
      <c r="M3776" s="126"/>
      <c r="N3776" s="121"/>
    </row>
    <row r="3777" spans="1:14" x14ac:dyDescent="0.25">
      <c r="A3777" s="121" t="s">
        <v>105</v>
      </c>
      <c r="B3777" s="121" t="s">
        <v>108</v>
      </c>
      <c r="C3777" s="62">
        <f>VLOOKUP(B3777,合并仓明细!$D$2:$F$74,3,0)</f>
        <v>38</v>
      </c>
      <c r="D3777" s="122" t="s">
        <v>393</v>
      </c>
      <c r="E3777" s="123">
        <v>45958</v>
      </c>
      <c r="F3777" s="121" t="s">
        <v>68</v>
      </c>
      <c r="G3777" s="121">
        <v>55.906440000000003</v>
      </c>
      <c r="H3777" s="124">
        <v>3.1232852048100002</v>
      </c>
      <c r="I3777" s="46">
        <f>ROUNDUP(H3777/30,0)*VLOOKUP(D3777,'报价表-配送'!$B$54:$I$58,8,0)</f>
        <v>0</v>
      </c>
      <c r="J3777" s="125"/>
      <c r="K3777" s="125"/>
      <c r="L3777" s="121"/>
      <c r="M3777" s="126"/>
      <c r="N3777" s="127">
        <f t="shared" ref="N3777" si="328">SUM(I3777:L3777)</f>
        <v>0</v>
      </c>
    </row>
    <row r="3778" spans="1:14" x14ac:dyDescent="0.25">
      <c r="A3778" s="121" t="s">
        <v>105</v>
      </c>
      <c r="B3778" s="121" t="s">
        <v>108</v>
      </c>
      <c r="C3778" s="62">
        <f>VLOOKUP(B3778,合并仓明细!$D$2:$F$74,3,0)</f>
        <v>38</v>
      </c>
      <c r="D3778" s="122" t="s">
        <v>393</v>
      </c>
      <c r="E3778" s="123">
        <v>45958</v>
      </c>
      <c r="F3778" s="121" t="s">
        <v>67</v>
      </c>
      <c r="G3778" s="121">
        <v>2347.0709000000002</v>
      </c>
      <c r="H3778" s="124"/>
      <c r="I3778" s="125"/>
      <c r="J3778" s="125"/>
      <c r="K3778" s="125"/>
      <c r="L3778" s="121"/>
      <c r="M3778" s="126"/>
      <c r="N3778" s="121"/>
    </row>
    <row r="3779" spans="1:14" x14ac:dyDescent="0.25">
      <c r="A3779" s="121" t="s">
        <v>105</v>
      </c>
      <c r="B3779" s="121" t="s">
        <v>108</v>
      </c>
      <c r="C3779" s="62">
        <f>VLOOKUP(B3779,合并仓明细!$D$2:$F$74,3,0)</f>
        <v>38</v>
      </c>
      <c r="D3779" s="122" t="s">
        <v>393</v>
      </c>
      <c r="E3779" s="123">
        <v>45958</v>
      </c>
      <c r="F3779" s="121" t="s">
        <v>66</v>
      </c>
      <c r="G3779" s="121">
        <v>720.30786480999996</v>
      </c>
      <c r="H3779" s="124"/>
      <c r="I3779" s="125"/>
      <c r="J3779" s="125"/>
      <c r="K3779" s="125"/>
      <c r="L3779" s="121"/>
      <c r="M3779" s="126"/>
      <c r="N3779" s="121"/>
    </row>
    <row r="3780" spans="1:14" x14ac:dyDescent="0.25">
      <c r="A3780" s="121" t="s">
        <v>105</v>
      </c>
      <c r="B3780" s="121" t="s">
        <v>108</v>
      </c>
      <c r="C3780" s="62">
        <f>VLOOKUP(B3780,合并仓明细!$D$2:$F$74,3,0)</f>
        <v>38</v>
      </c>
      <c r="D3780" s="122" t="s">
        <v>393</v>
      </c>
      <c r="E3780" s="123">
        <v>45967</v>
      </c>
      <c r="F3780" s="121" t="s">
        <v>68</v>
      </c>
      <c r="G3780" s="121">
        <v>63.857400000000005</v>
      </c>
      <c r="H3780" s="124">
        <v>4.2379996000300002</v>
      </c>
      <c r="I3780" s="46">
        <f>ROUNDUP(H3780/30,0)*VLOOKUP(D3780,'报价表-配送'!$B$54:$I$58,8,0)</f>
        <v>0</v>
      </c>
      <c r="J3780" s="125"/>
      <c r="K3780" s="125"/>
      <c r="L3780" s="121"/>
      <c r="M3780" s="126"/>
      <c r="N3780" s="127">
        <f t="shared" ref="N3780" si="329">SUM(I3780:L3780)</f>
        <v>0</v>
      </c>
    </row>
    <row r="3781" spans="1:14" x14ac:dyDescent="0.25">
      <c r="A3781" s="121" t="s">
        <v>105</v>
      </c>
      <c r="B3781" s="121" t="s">
        <v>108</v>
      </c>
      <c r="C3781" s="62">
        <f>VLOOKUP(B3781,合并仓明细!$D$2:$F$74,3,0)</f>
        <v>38</v>
      </c>
      <c r="D3781" s="122" t="s">
        <v>393</v>
      </c>
      <c r="E3781" s="123">
        <v>45967</v>
      </c>
      <c r="F3781" s="121" t="s">
        <v>67</v>
      </c>
      <c r="G3781" s="121">
        <v>1952.6337000000001</v>
      </c>
      <c r="H3781" s="124"/>
      <c r="I3781" s="125"/>
      <c r="J3781" s="125"/>
      <c r="K3781" s="125"/>
      <c r="L3781" s="121"/>
      <c r="M3781" s="126"/>
      <c r="N3781" s="121"/>
    </row>
    <row r="3782" spans="1:14" x14ac:dyDescent="0.25">
      <c r="A3782" s="121" t="s">
        <v>105</v>
      </c>
      <c r="B3782" s="121" t="s">
        <v>108</v>
      </c>
      <c r="C3782" s="62">
        <f>VLOOKUP(B3782,合并仓明细!$D$2:$F$74,3,0)</f>
        <v>38</v>
      </c>
      <c r="D3782" s="122" t="s">
        <v>393</v>
      </c>
      <c r="E3782" s="123">
        <v>45967</v>
      </c>
      <c r="F3782" s="121" t="s">
        <v>66</v>
      </c>
      <c r="G3782" s="121">
        <v>2221.5085000300001</v>
      </c>
      <c r="H3782" s="124"/>
      <c r="I3782" s="125"/>
      <c r="J3782" s="125"/>
      <c r="K3782" s="125"/>
      <c r="L3782" s="121"/>
      <c r="M3782" s="126"/>
      <c r="N3782" s="121"/>
    </row>
    <row r="3783" spans="1:14" x14ac:dyDescent="0.25">
      <c r="A3783" s="121" t="s">
        <v>105</v>
      </c>
      <c r="B3783" s="121" t="s">
        <v>108</v>
      </c>
      <c r="C3783" s="62">
        <f>VLOOKUP(B3783,合并仓明细!$D$2:$F$74,3,0)</f>
        <v>38</v>
      </c>
      <c r="D3783" s="122" t="s">
        <v>393</v>
      </c>
      <c r="E3783" s="123">
        <v>45974</v>
      </c>
      <c r="F3783" s="121" t="s">
        <v>67</v>
      </c>
      <c r="G3783" s="121">
        <v>1780.9152000000004</v>
      </c>
      <c r="H3783" s="124">
        <v>2.4903038907500004</v>
      </c>
      <c r="I3783" s="38">
        <f>IF(H3783&gt;30,QUOTIENT(H3783,30)*VLOOKUP(D3783,'报价表-配送'!$B$54:$I$58,8,0),0)+IF(AND(MOD(H3783,30)&gt;18,MOD(H3783,30)&lt;=30),1,0)*VLOOKUP(D3783,'报价表-配送'!$B$54:$I$58,8,0)</f>
        <v>0</v>
      </c>
      <c r="J3783" s="38">
        <f>IF(AND(MOD(H3783,30)&gt;8,MOD(H3783,30)&lt;=18),1*VLOOKUP(D3783,'报价表-配送'!$B$54:$I$58,7,0),0)</f>
        <v>0</v>
      </c>
      <c r="K3783" s="38">
        <f>IF(AND(MOD(H3783,30)&lt;=8,MOD(H3783,30)&gt;0),1,0)*VLOOKUP(D3783,'报价表-配送'!$B$54:$I$58,6,0)</f>
        <v>0</v>
      </c>
      <c r="L3783" s="121"/>
      <c r="M3783" s="126"/>
      <c r="N3783" s="127">
        <f t="shared" ref="N3783" si="330">SUM(I3783:L3783)</f>
        <v>0</v>
      </c>
    </row>
    <row r="3784" spans="1:14" x14ac:dyDescent="0.25">
      <c r="A3784" s="121" t="s">
        <v>105</v>
      </c>
      <c r="B3784" s="121" t="s">
        <v>108</v>
      </c>
      <c r="C3784" s="62">
        <f>VLOOKUP(B3784,合并仓明细!$D$2:$F$74,3,0)</f>
        <v>38</v>
      </c>
      <c r="D3784" s="122" t="s">
        <v>393</v>
      </c>
      <c r="E3784" s="123">
        <v>45974</v>
      </c>
      <c r="F3784" s="121" t="s">
        <v>66</v>
      </c>
      <c r="G3784" s="121">
        <v>709.38869075000014</v>
      </c>
      <c r="H3784" s="124"/>
      <c r="I3784" s="125"/>
      <c r="J3784" s="125"/>
      <c r="K3784" s="125"/>
      <c r="L3784" s="121"/>
      <c r="M3784" s="126"/>
      <c r="N3784" s="121"/>
    </row>
    <row r="3785" spans="1:14" x14ac:dyDescent="0.25">
      <c r="A3785" s="121" t="s">
        <v>105</v>
      </c>
      <c r="B3785" s="121" t="s">
        <v>108</v>
      </c>
      <c r="C3785" s="62">
        <f>VLOOKUP(B3785,合并仓明细!$D$2:$F$74,3,0)</f>
        <v>38</v>
      </c>
      <c r="D3785" s="122" t="s">
        <v>393</v>
      </c>
      <c r="E3785" s="123">
        <v>45985</v>
      </c>
      <c r="F3785" s="121" t="s">
        <v>68</v>
      </c>
      <c r="G3785" s="121">
        <v>367.41556800000001</v>
      </c>
      <c r="H3785" s="124">
        <v>5.1150528576100003</v>
      </c>
      <c r="I3785" s="46">
        <f>ROUNDUP(H3785/30,0)*VLOOKUP(D3785,'报价表-配送'!$B$54:$I$58,8,0)</f>
        <v>0</v>
      </c>
      <c r="J3785" s="125"/>
      <c r="K3785" s="125"/>
      <c r="L3785" s="121"/>
      <c r="M3785" s="126"/>
      <c r="N3785" s="127">
        <f t="shared" ref="N3785" si="331">SUM(I3785:L3785)</f>
        <v>0</v>
      </c>
    </row>
    <row r="3786" spans="1:14" x14ac:dyDescent="0.25">
      <c r="A3786" s="121" t="s">
        <v>105</v>
      </c>
      <c r="B3786" s="121" t="s">
        <v>108</v>
      </c>
      <c r="C3786" s="62">
        <f>VLOOKUP(B3786,合并仓明细!$D$2:$F$74,3,0)</f>
        <v>38</v>
      </c>
      <c r="D3786" s="122" t="s">
        <v>393</v>
      </c>
      <c r="E3786" s="123">
        <v>45985</v>
      </c>
      <c r="F3786" s="121" t="s">
        <v>67</v>
      </c>
      <c r="G3786" s="121">
        <v>4105.5439130000004</v>
      </c>
      <c r="H3786" s="124"/>
      <c r="I3786" s="125"/>
      <c r="J3786" s="125"/>
      <c r="K3786" s="125"/>
      <c r="L3786" s="121"/>
      <c r="M3786" s="126"/>
      <c r="N3786" s="121"/>
    </row>
    <row r="3787" spans="1:14" x14ac:dyDescent="0.25">
      <c r="A3787" s="121" t="s">
        <v>105</v>
      </c>
      <c r="B3787" s="121" t="s">
        <v>108</v>
      </c>
      <c r="C3787" s="62">
        <f>VLOOKUP(B3787,合并仓明细!$D$2:$F$74,3,0)</f>
        <v>38</v>
      </c>
      <c r="D3787" s="122" t="s">
        <v>393</v>
      </c>
      <c r="E3787" s="123">
        <v>45985</v>
      </c>
      <c r="F3787" s="121" t="s">
        <v>66</v>
      </c>
      <c r="G3787" s="121">
        <v>642.09337661000006</v>
      </c>
      <c r="H3787" s="124"/>
      <c r="I3787" s="125"/>
      <c r="J3787" s="125"/>
      <c r="K3787" s="125"/>
      <c r="L3787" s="121"/>
      <c r="M3787" s="126"/>
      <c r="N3787" s="121"/>
    </row>
    <row r="3788" spans="1:14" x14ac:dyDescent="0.25">
      <c r="A3788" s="121" t="s">
        <v>105</v>
      </c>
      <c r="B3788" s="121" t="s">
        <v>108</v>
      </c>
      <c r="C3788" s="62">
        <f>VLOOKUP(B3788,合并仓明细!$D$2:$F$74,3,0)</f>
        <v>38</v>
      </c>
      <c r="D3788" s="122" t="s">
        <v>393</v>
      </c>
      <c r="E3788" s="123">
        <v>45994</v>
      </c>
      <c r="F3788" s="121" t="s">
        <v>68</v>
      </c>
      <c r="G3788" s="121">
        <v>25.542960000000001</v>
      </c>
      <c r="H3788" s="124">
        <v>1.52398544141</v>
      </c>
      <c r="I3788" s="46">
        <f>ROUNDUP(H3788/30,0)*VLOOKUP(D3788,'报价表-配送'!$B$54:$I$58,8,0)</f>
        <v>0</v>
      </c>
      <c r="J3788" s="125"/>
      <c r="K3788" s="125"/>
      <c r="L3788" s="121"/>
      <c r="M3788" s="126"/>
      <c r="N3788" s="127">
        <f t="shared" ref="N3788" si="332">SUM(I3788:L3788)</f>
        <v>0</v>
      </c>
    </row>
    <row r="3789" spans="1:14" x14ac:dyDescent="0.25">
      <c r="A3789" s="121" t="s">
        <v>105</v>
      </c>
      <c r="B3789" s="121" t="s">
        <v>108</v>
      </c>
      <c r="C3789" s="62">
        <f>VLOOKUP(B3789,合并仓明细!$D$2:$F$74,3,0)</f>
        <v>38</v>
      </c>
      <c r="D3789" s="122" t="s">
        <v>393</v>
      </c>
      <c r="E3789" s="123">
        <v>45994</v>
      </c>
      <c r="F3789" s="121" t="s">
        <v>67</v>
      </c>
      <c r="G3789" s="121">
        <v>991.87641000000008</v>
      </c>
      <c r="H3789" s="124"/>
      <c r="I3789" s="125"/>
      <c r="J3789" s="125"/>
      <c r="K3789" s="125"/>
      <c r="L3789" s="121"/>
      <c r="M3789" s="126"/>
      <c r="N3789" s="121"/>
    </row>
    <row r="3790" spans="1:14" x14ac:dyDescent="0.25">
      <c r="A3790" s="121" t="s">
        <v>105</v>
      </c>
      <c r="B3790" s="121" t="s">
        <v>108</v>
      </c>
      <c r="C3790" s="62">
        <f>VLOOKUP(B3790,合并仓明细!$D$2:$F$74,3,0)</f>
        <v>38</v>
      </c>
      <c r="D3790" s="122" t="s">
        <v>393</v>
      </c>
      <c r="E3790" s="123">
        <v>45994</v>
      </c>
      <c r="F3790" s="121" t="s">
        <v>66</v>
      </c>
      <c r="G3790" s="121">
        <v>506.56607141000006</v>
      </c>
      <c r="H3790" s="124"/>
      <c r="I3790" s="125"/>
      <c r="J3790" s="125"/>
      <c r="K3790" s="125"/>
      <c r="L3790" s="121"/>
      <c r="M3790" s="126"/>
      <c r="N3790" s="121"/>
    </row>
    <row r="3791" spans="1:14" x14ac:dyDescent="0.25">
      <c r="A3791" s="121" t="s">
        <v>105</v>
      </c>
      <c r="B3791" s="121" t="s">
        <v>108</v>
      </c>
      <c r="C3791" s="62">
        <f>VLOOKUP(B3791,合并仓明细!$D$2:$F$74,3,0)</f>
        <v>38</v>
      </c>
      <c r="D3791" s="122" t="s">
        <v>393</v>
      </c>
      <c r="E3791" s="123">
        <v>46001</v>
      </c>
      <c r="F3791" s="121" t="s">
        <v>68</v>
      </c>
      <c r="G3791" s="121">
        <v>1600.4286</v>
      </c>
      <c r="H3791" s="124">
        <v>4.4808024535099999</v>
      </c>
      <c r="I3791" s="46">
        <f>ROUNDUP(H3791/30,0)*VLOOKUP(D3791,'报价表-配送'!$B$54:$I$58,8,0)</f>
        <v>0</v>
      </c>
      <c r="J3791" s="125"/>
      <c r="K3791" s="125"/>
      <c r="L3791" s="121"/>
      <c r="M3791" s="126"/>
      <c r="N3791" s="127">
        <f t="shared" ref="N3791" si="333">SUM(I3791:L3791)</f>
        <v>0</v>
      </c>
    </row>
    <row r="3792" spans="1:14" x14ac:dyDescent="0.25">
      <c r="A3792" s="121" t="s">
        <v>105</v>
      </c>
      <c r="B3792" s="121" t="s">
        <v>108</v>
      </c>
      <c r="C3792" s="62">
        <f>VLOOKUP(B3792,合并仓明细!$D$2:$F$74,3,0)</f>
        <v>38</v>
      </c>
      <c r="D3792" s="122" t="s">
        <v>393</v>
      </c>
      <c r="E3792" s="123">
        <v>46001</v>
      </c>
      <c r="F3792" s="121" t="s">
        <v>67</v>
      </c>
      <c r="G3792" s="121">
        <v>1894.4751740000002</v>
      </c>
      <c r="H3792" s="124"/>
      <c r="I3792" s="125"/>
      <c r="J3792" s="125"/>
      <c r="K3792" s="125"/>
      <c r="L3792" s="121"/>
      <c r="M3792" s="126"/>
      <c r="N3792" s="121"/>
    </row>
    <row r="3793" spans="1:14" x14ac:dyDescent="0.25">
      <c r="A3793" s="121" t="s">
        <v>105</v>
      </c>
      <c r="B3793" s="121" t="s">
        <v>108</v>
      </c>
      <c r="C3793" s="62">
        <f>VLOOKUP(B3793,合并仓明细!$D$2:$F$74,3,0)</f>
        <v>38</v>
      </c>
      <c r="D3793" s="122" t="s">
        <v>393</v>
      </c>
      <c r="E3793" s="123">
        <v>46001</v>
      </c>
      <c r="F3793" s="121" t="s">
        <v>66</v>
      </c>
      <c r="G3793" s="121">
        <v>985.89867951000008</v>
      </c>
      <c r="H3793" s="124"/>
      <c r="I3793" s="125"/>
      <c r="J3793" s="125"/>
      <c r="K3793" s="125"/>
      <c r="L3793" s="121"/>
      <c r="M3793" s="126"/>
      <c r="N3793" s="121"/>
    </row>
    <row r="3794" spans="1:14" x14ac:dyDescent="0.25">
      <c r="A3794" s="121" t="s">
        <v>105</v>
      </c>
      <c r="B3794" s="121" t="s">
        <v>108</v>
      </c>
      <c r="C3794" s="62">
        <f>VLOOKUP(B3794,合并仓明细!$D$2:$F$74,3,0)</f>
        <v>38</v>
      </c>
      <c r="D3794" s="122" t="s">
        <v>393</v>
      </c>
      <c r="E3794" s="123">
        <v>46013</v>
      </c>
      <c r="F3794" s="121" t="s">
        <v>68</v>
      </c>
      <c r="G3794" s="121">
        <v>124.135536</v>
      </c>
      <c r="H3794" s="124">
        <v>4.6270768929899999</v>
      </c>
      <c r="I3794" s="46">
        <f>ROUNDUP(H3794/30,0)*VLOOKUP(D3794,'报价表-配送'!$B$54:$I$58,8,0)</f>
        <v>0</v>
      </c>
      <c r="J3794" s="125"/>
      <c r="K3794" s="125"/>
      <c r="L3794" s="121"/>
      <c r="M3794" s="126"/>
      <c r="N3794" s="127">
        <f t="shared" ref="N3794" si="334">SUM(I3794:L3794)</f>
        <v>0</v>
      </c>
    </row>
    <row r="3795" spans="1:14" x14ac:dyDescent="0.25">
      <c r="A3795" s="121" t="s">
        <v>105</v>
      </c>
      <c r="B3795" s="121" t="s">
        <v>108</v>
      </c>
      <c r="C3795" s="62">
        <f>VLOOKUP(B3795,合并仓明细!$D$2:$F$74,3,0)</f>
        <v>38</v>
      </c>
      <c r="D3795" s="122" t="s">
        <v>393</v>
      </c>
      <c r="E3795" s="123">
        <v>46013</v>
      </c>
      <c r="F3795" s="121" t="s">
        <v>67</v>
      </c>
      <c r="G3795" s="121">
        <v>3856.19416</v>
      </c>
      <c r="H3795" s="124"/>
      <c r="I3795" s="125"/>
      <c r="J3795" s="125"/>
      <c r="K3795" s="125"/>
      <c r="L3795" s="121"/>
      <c r="M3795" s="126"/>
      <c r="N3795" s="121"/>
    </row>
    <row r="3796" spans="1:14" x14ac:dyDescent="0.25">
      <c r="A3796" s="121" t="s">
        <v>105</v>
      </c>
      <c r="B3796" s="121" t="s">
        <v>108</v>
      </c>
      <c r="C3796" s="62">
        <f>VLOOKUP(B3796,合并仓明细!$D$2:$F$74,3,0)</f>
        <v>38</v>
      </c>
      <c r="D3796" s="122" t="s">
        <v>393</v>
      </c>
      <c r="E3796" s="123">
        <v>46013</v>
      </c>
      <c r="F3796" s="121" t="s">
        <v>66</v>
      </c>
      <c r="G3796" s="121">
        <v>646.74719699000013</v>
      </c>
      <c r="H3796" s="124"/>
      <c r="I3796" s="125"/>
      <c r="J3796" s="125"/>
      <c r="K3796" s="125"/>
      <c r="L3796" s="121"/>
      <c r="M3796" s="126"/>
      <c r="N3796" s="121"/>
    </row>
    <row r="3797" spans="1:14" x14ac:dyDescent="0.25">
      <c r="A3797" s="121" t="s">
        <v>105</v>
      </c>
      <c r="B3797" s="121" t="s">
        <v>108</v>
      </c>
      <c r="C3797" s="62">
        <f>VLOOKUP(B3797,合并仓明细!$D$2:$F$74,3,0)</f>
        <v>38</v>
      </c>
      <c r="D3797" s="122" t="s">
        <v>393</v>
      </c>
      <c r="E3797" s="123">
        <v>46030</v>
      </c>
      <c r="F3797" s="121" t="s">
        <v>67</v>
      </c>
      <c r="G3797" s="121">
        <v>1918.7564339999999</v>
      </c>
      <c r="H3797" s="124">
        <v>2.7256042965899998</v>
      </c>
      <c r="I3797" s="38">
        <f>IF(H3797&gt;30,QUOTIENT(H3797,30)*VLOOKUP(D3797,'报价表-配送'!$B$54:$I$58,8,0),0)+IF(AND(MOD(H3797,30)&gt;18,MOD(H3797,30)&lt;=30),1,0)*VLOOKUP(D3797,'报价表-配送'!$B$54:$I$58,8,0)</f>
        <v>0</v>
      </c>
      <c r="J3797" s="38">
        <f>IF(AND(MOD(H3797,30)&gt;8,MOD(H3797,30)&lt;=18),1*VLOOKUP(D3797,'报价表-配送'!$B$54:$I$58,7,0),0)</f>
        <v>0</v>
      </c>
      <c r="K3797" s="38">
        <f>IF(AND(MOD(H3797,30)&lt;=8,MOD(H3797,30)&gt;0),1,0)*VLOOKUP(D3797,'报价表-配送'!$B$54:$I$58,6,0)</f>
        <v>0</v>
      </c>
      <c r="L3797" s="121"/>
      <c r="M3797" s="126"/>
      <c r="N3797" s="127">
        <f t="shared" ref="N3797" si="335">SUM(I3797:L3797)</f>
        <v>0</v>
      </c>
    </row>
    <row r="3798" spans="1:14" x14ac:dyDescent="0.25">
      <c r="A3798" s="121" t="s">
        <v>105</v>
      </c>
      <c r="B3798" s="121" t="s">
        <v>108</v>
      </c>
      <c r="C3798" s="62">
        <f>VLOOKUP(B3798,合并仓明细!$D$2:$F$74,3,0)</f>
        <v>38</v>
      </c>
      <c r="D3798" s="122" t="s">
        <v>393</v>
      </c>
      <c r="E3798" s="123">
        <v>46030</v>
      </c>
      <c r="F3798" s="121" t="s">
        <v>66</v>
      </c>
      <c r="G3798" s="121">
        <v>806.84786258999986</v>
      </c>
      <c r="H3798" s="124"/>
      <c r="I3798" s="125"/>
      <c r="J3798" s="125"/>
      <c r="K3798" s="125"/>
      <c r="L3798" s="121"/>
      <c r="M3798" s="126"/>
      <c r="N3798" s="121"/>
    </row>
    <row r="3799" spans="1:14" x14ac:dyDescent="0.25">
      <c r="A3799" s="121" t="s">
        <v>105</v>
      </c>
      <c r="B3799" s="121" t="s">
        <v>108</v>
      </c>
      <c r="C3799" s="62">
        <f>VLOOKUP(B3799,合并仓明细!$D$2:$F$74,3,0)</f>
        <v>38</v>
      </c>
      <c r="D3799" s="122" t="s">
        <v>393</v>
      </c>
      <c r="E3799" s="123">
        <v>46038</v>
      </c>
      <c r="F3799" s="121" t="s">
        <v>68</v>
      </c>
      <c r="G3799" s="121">
        <v>407.24699999999996</v>
      </c>
      <c r="H3799" s="124">
        <v>8.0272163040099986</v>
      </c>
      <c r="I3799" s="46">
        <f>ROUNDUP(H3799/30,0)*VLOOKUP(D3799,'报价表-配送'!$B$54:$I$58,8,0)</f>
        <v>0</v>
      </c>
      <c r="J3799" s="125"/>
      <c r="K3799" s="125"/>
      <c r="L3799" s="121"/>
      <c r="M3799" s="126"/>
      <c r="N3799" s="127">
        <f t="shared" ref="N3799" si="336">SUM(I3799:L3799)</f>
        <v>0</v>
      </c>
    </row>
    <row r="3800" spans="1:14" x14ac:dyDescent="0.25">
      <c r="A3800" s="121" t="s">
        <v>105</v>
      </c>
      <c r="B3800" s="121" t="s">
        <v>108</v>
      </c>
      <c r="C3800" s="62">
        <f>VLOOKUP(B3800,合并仓明细!$D$2:$F$74,3,0)</f>
        <v>38</v>
      </c>
      <c r="D3800" s="122" t="s">
        <v>393</v>
      </c>
      <c r="E3800" s="123">
        <v>46038</v>
      </c>
      <c r="F3800" s="121" t="s">
        <v>67</v>
      </c>
      <c r="G3800" s="121">
        <v>6274.4245019999998</v>
      </c>
      <c r="H3800" s="124"/>
      <c r="I3800" s="125"/>
      <c r="J3800" s="125"/>
      <c r="K3800" s="125"/>
      <c r="L3800" s="121"/>
      <c r="M3800" s="126"/>
      <c r="N3800" s="121"/>
    </row>
    <row r="3801" spans="1:14" x14ac:dyDescent="0.25">
      <c r="A3801" s="121" t="s">
        <v>105</v>
      </c>
      <c r="B3801" s="121" t="s">
        <v>108</v>
      </c>
      <c r="C3801" s="62">
        <f>VLOOKUP(B3801,合并仓明细!$D$2:$F$74,3,0)</f>
        <v>38</v>
      </c>
      <c r="D3801" s="122" t="s">
        <v>393</v>
      </c>
      <c r="E3801" s="123">
        <v>46038</v>
      </c>
      <c r="F3801" s="121" t="s">
        <v>66</v>
      </c>
      <c r="G3801" s="121">
        <v>1345.5448020099993</v>
      </c>
      <c r="H3801" s="124"/>
      <c r="I3801" s="125"/>
      <c r="J3801" s="125"/>
      <c r="K3801" s="125"/>
      <c r="L3801" s="121"/>
      <c r="M3801" s="126"/>
      <c r="N3801" s="121"/>
    </row>
    <row r="3802" spans="1:14" x14ac:dyDescent="0.25">
      <c r="A3802" s="121" t="s">
        <v>105</v>
      </c>
      <c r="B3802" s="121" t="s">
        <v>108</v>
      </c>
      <c r="C3802" s="62">
        <f>VLOOKUP(B3802,合并仓明细!$D$2:$F$74,3,0)</f>
        <v>38</v>
      </c>
      <c r="D3802" s="122" t="s">
        <v>393</v>
      </c>
      <c r="E3802" s="123">
        <v>46045</v>
      </c>
      <c r="F3802" s="121" t="s">
        <v>68</v>
      </c>
      <c r="G3802" s="121">
        <v>1070.1154000000001</v>
      </c>
      <c r="H3802" s="124">
        <v>6.3669210736300013</v>
      </c>
      <c r="I3802" s="46">
        <f>ROUNDUP(H3802/30,0)*VLOOKUP(D3802,'报价表-配送'!$B$54:$I$58,8,0)</f>
        <v>0</v>
      </c>
      <c r="J3802" s="125"/>
      <c r="K3802" s="125"/>
      <c r="L3802" s="121"/>
      <c r="M3802" s="126"/>
      <c r="N3802" s="127">
        <f t="shared" ref="N3802" si="337">SUM(I3802:L3802)</f>
        <v>0</v>
      </c>
    </row>
    <row r="3803" spans="1:14" x14ac:dyDescent="0.25">
      <c r="A3803" s="121" t="s">
        <v>105</v>
      </c>
      <c r="B3803" s="121" t="s">
        <v>108</v>
      </c>
      <c r="C3803" s="62">
        <f>VLOOKUP(B3803,合并仓明细!$D$2:$F$74,3,0)</f>
        <v>38</v>
      </c>
      <c r="D3803" s="122" t="s">
        <v>393</v>
      </c>
      <c r="E3803" s="123">
        <v>46045</v>
      </c>
      <c r="F3803" s="121" t="s">
        <v>67</v>
      </c>
      <c r="G3803" s="121">
        <v>3095.9178599999996</v>
      </c>
      <c r="H3803" s="124"/>
      <c r="I3803" s="125"/>
      <c r="J3803" s="125"/>
      <c r="K3803" s="125"/>
      <c r="L3803" s="121"/>
      <c r="M3803" s="126"/>
      <c r="N3803" s="121"/>
    </row>
    <row r="3804" spans="1:14" x14ac:dyDescent="0.25">
      <c r="A3804" s="121" t="s">
        <v>105</v>
      </c>
      <c r="B3804" s="121" t="s">
        <v>108</v>
      </c>
      <c r="C3804" s="62">
        <f>VLOOKUP(B3804,合并仓明细!$D$2:$F$74,3,0)</f>
        <v>38</v>
      </c>
      <c r="D3804" s="122" t="s">
        <v>393</v>
      </c>
      <c r="E3804" s="123">
        <v>46045</v>
      </c>
      <c r="F3804" s="121" t="s">
        <v>66</v>
      </c>
      <c r="G3804" s="121">
        <v>2200.8878136300004</v>
      </c>
      <c r="H3804" s="124"/>
      <c r="I3804" s="125"/>
      <c r="J3804" s="125"/>
      <c r="K3804" s="125"/>
      <c r="L3804" s="121"/>
      <c r="M3804" s="126"/>
      <c r="N3804" s="121"/>
    </row>
    <row r="3805" spans="1:14" x14ac:dyDescent="0.25">
      <c r="A3805" s="121" t="s">
        <v>105</v>
      </c>
      <c r="B3805" s="121" t="s">
        <v>108</v>
      </c>
      <c r="C3805" s="62">
        <f>VLOOKUP(B3805,合并仓明细!$D$2:$F$74,3,0)</f>
        <v>38</v>
      </c>
      <c r="D3805" s="122" t="s">
        <v>393</v>
      </c>
      <c r="E3805" s="123">
        <v>46058</v>
      </c>
      <c r="F3805" s="121" t="s">
        <v>68</v>
      </c>
      <c r="G3805" s="121">
        <v>4185.4594799999995</v>
      </c>
      <c r="H3805" s="124">
        <v>11.820742864010001</v>
      </c>
      <c r="I3805" s="46">
        <f>ROUNDUP(H3805/30,0)*VLOOKUP(D3805,'报价表-配送'!$B$54:$I$58,8,0)</f>
        <v>0</v>
      </c>
      <c r="J3805" s="125"/>
      <c r="K3805" s="125"/>
      <c r="L3805" s="121"/>
      <c r="M3805" s="126"/>
      <c r="N3805" s="127">
        <f t="shared" ref="N3805" si="338">SUM(I3805:L3805)</f>
        <v>0</v>
      </c>
    </row>
    <row r="3806" spans="1:14" x14ac:dyDescent="0.25">
      <c r="A3806" s="121" t="s">
        <v>105</v>
      </c>
      <c r="B3806" s="121" t="s">
        <v>108</v>
      </c>
      <c r="C3806" s="62">
        <f>VLOOKUP(B3806,合并仓明细!$D$2:$F$74,3,0)</f>
        <v>38</v>
      </c>
      <c r="D3806" s="122" t="s">
        <v>393</v>
      </c>
      <c r="E3806" s="123">
        <v>46058</v>
      </c>
      <c r="F3806" s="121" t="s">
        <v>67</v>
      </c>
      <c r="G3806" s="121">
        <v>7233.885765</v>
      </c>
      <c r="H3806" s="124"/>
      <c r="I3806" s="125"/>
      <c r="J3806" s="125"/>
      <c r="K3806" s="125"/>
      <c r="L3806" s="121"/>
      <c r="M3806" s="126"/>
      <c r="N3806" s="121"/>
    </row>
    <row r="3807" spans="1:14" x14ac:dyDescent="0.25">
      <c r="A3807" s="121" t="s">
        <v>105</v>
      </c>
      <c r="B3807" s="121" t="s">
        <v>108</v>
      </c>
      <c r="C3807" s="62">
        <f>VLOOKUP(B3807,合并仓明细!$D$2:$F$74,3,0)</f>
        <v>38</v>
      </c>
      <c r="D3807" s="122" t="s">
        <v>393</v>
      </c>
      <c r="E3807" s="123">
        <v>46058</v>
      </c>
      <c r="F3807" s="121" t="s">
        <v>66</v>
      </c>
      <c r="G3807" s="121">
        <v>401.39761900999997</v>
      </c>
      <c r="H3807" s="124"/>
      <c r="I3807" s="125"/>
      <c r="J3807" s="125"/>
      <c r="K3807" s="125"/>
      <c r="L3807" s="121"/>
      <c r="M3807" s="126"/>
      <c r="N3807" s="121"/>
    </row>
    <row r="3808" spans="1:14" x14ac:dyDescent="0.25">
      <c r="A3808" s="121" t="s">
        <v>105</v>
      </c>
      <c r="B3808" s="121" t="s">
        <v>108</v>
      </c>
      <c r="C3808" s="62">
        <f>VLOOKUP(B3808,合并仓明细!$D$2:$F$74,3,0)</f>
        <v>38</v>
      </c>
      <c r="D3808" s="122" t="s">
        <v>393</v>
      </c>
      <c r="E3808" s="123">
        <v>46085</v>
      </c>
      <c r="F3808" s="121" t="s">
        <v>67</v>
      </c>
      <c r="G3808" s="121">
        <v>88.079676000000006</v>
      </c>
      <c r="H3808" s="124">
        <v>0.65675467600000004</v>
      </c>
      <c r="I3808" s="38">
        <f>IF(H3808&gt;30,QUOTIENT(H3808,30)*VLOOKUP(D3808,'报价表-配送'!$B$54:$I$58,8,0),0)+IF(AND(MOD(H3808,30)&gt;18,MOD(H3808,30)&lt;=30),1,0)*VLOOKUP(D3808,'报价表-配送'!$B$54:$I$58,8,0)</f>
        <v>0</v>
      </c>
      <c r="J3808" s="38">
        <f>IF(AND(MOD(H3808,30)&gt;8,MOD(H3808,30)&lt;=18),1*VLOOKUP(D3808,'报价表-配送'!$B$54:$I$58,7,0),0)</f>
        <v>0</v>
      </c>
      <c r="K3808" s="38">
        <f>IF(AND(MOD(H3808,30)&lt;=8,MOD(H3808,30)&gt;0),1,0)*VLOOKUP(D3808,'报价表-配送'!$B$54:$I$58,6,0)</f>
        <v>0</v>
      </c>
      <c r="L3808" s="121"/>
      <c r="M3808" s="126"/>
      <c r="N3808" s="127">
        <f t="shared" ref="N3808" si="339">SUM(I3808:L3808)</f>
        <v>0</v>
      </c>
    </row>
    <row r="3809" spans="1:14" x14ac:dyDescent="0.25">
      <c r="A3809" s="121" t="s">
        <v>105</v>
      </c>
      <c r="B3809" s="121" t="s">
        <v>108</v>
      </c>
      <c r="C3809" s="62">
        <f>VLOOKUP(B3809,合并仓明细!$D$2:$F$74,3,0)</f>
        <v>38</v>
      </c>
      <c r="D3809" s="122" t="s">
        <v>393</v>
      </c>
      <c r="E3809" s="123">
        <v>46085</v>
      </c>
      <c r="F3809" s="121" t="s">
        <v>66</v>
      </c>
      <c r="G3809" s="121">
        <v>568.67500000000007</v>
      </c>
      <c r="H3809" s="124"/>
      <c r="I3809" s="125"/>
      <c r="J3809" s="125"/>
      <c r="K3809" s="125"/>
      <c r="L3809" s="121"/>
      <c r="M3809" s="126"/>
      <c r="N3809" s="121"/>
    </row>
    <row r="3810" spans="1:14" x14ac:dyDescent="0.25">
      <c r="A3810" s="121" t="s">
        <v>105</v>
      </c>
      <c r="B3810" s="121" t="s">
        <v>108</v>
      </c>
      <c r="C3810" s="62">
        <f>VLOOKUP(B3810,合并仓明细!$D$2:$F$74,3,0)</f>
        <v>38</v>
      </c>
      <c r="D3810" s="122" t="s">
        <v>393</v>
      </c>
      <c r="E3810" s="123">
        <v>46086</v>
      </c>
      <c r="F3810" s="121" t="s">
        <v>67</v>
      </c>
      <c r="G3810" s="121">
        <v>656.98188000000005</v>
      </c>
      <c r="H3810" s="124">
        <v>0.66106688000000013</v>
      </c>
      <c r="I3810" s="38">
        <f>IF(H3810&gt;30,QUOTIENT(H3810,30)*VLOOKUP(D3810,'报价表-配送'!$B$54:$I$58,8,0),0)+IF(AND(MOD(H3810,30)&gt;18,MOD(H3810,30)&lt;=30),1,0)*VLOOKUP(D3810,'报价表-配送'!$B$54:$I$58,8,0)</f>
        <v>0</v>
      </c>
      <c r="J3810" s="38">
        <f>IF(AND(MOD(H3810,30)&gt;8,MOD(H3810,30)&lt;=18),1*VLOOKUP(D3810,'报价表-配送'!$B$54:$I$58,7,0),0)</f>
        <v>0</v>
      </c>
      <c r="K3810" s="38">
        <f>IF(AND(MOD(H3810,30)&lt;=8,MOD(H3810,30)&gt;0),1,0)*VLOOKUP(D3810,'报价表-配送'!$B$54:$I$58,6,0)</f>
        <v>0</v>
      </c>
      <c r="L3810" s="121"/>
      <c r="M3810" s="126"/>
      <c r="N3810" s="127">
        <f t="shared" ref="N3810" si="340">SUM(I3810:L3810)</f>
        <v>0</v>
      </c>
    </row>
    <row r="3811" spans="1:14" x14ac:dyDescent="0.25">
      <c r="A3811" s="121" t="s">
        <v>105</v>
      </c>
      <c r="B3811" s="121" t="s">
        <v>108</v>
      </c>
      <c r="C3811" s="62">
        <f>VLOOKUP(B3811,合并仓明细!$D$2:$F$74,3,0)</f>
        <v>38</v>
      </c>
      <c r="D3811" s="122" t="s">
        <v>393</v>
      </c>
      <c r="E3811" s="123">
        <v>46086</v>
      </c>
      <c r="F3811" s="121" t="s">
        <v>66</v>
      </c>
      <c r="G3811" s="121">
        <v>4.085</v>
      </c>
      <c r="H3811" s="124"/>
      <c r="I3811" s="125"/>
      <c r="J3811" s="125"/>
      <c r="K3811" s="125"/>
      <c r="L3811" s="121"/>
      <c r="M3811" s="126"/>
      <c r="N3811" s="121"/>
    </row>
    <row r="3812" spans="1:14" x14ac:dyDescent="0.25">
      <c r="A3812" s="121" t="s">
        <v>105</v>
      </c>
      <c r="B3812" s="121" t="s">
        <v>108</v>
      </c>
      <c r="C3812" s="62">
        <f>VLOOKUP(B3812,合并仓明细!$D$2:$F$74,3,0)</f>
        <v>38</v>
      </c>
      <c r="D3812" s="122" t="s">
        <v>393</v>
      </c>
      <c r="E3812" s="123">
        <v>46087</v>
      </c>
      <c r="F3812" s="121" t="s">
        <v>67</v>
      </c>
      <c r="G3812" s="121">
        <v>273.20015999999998</v>
      </c>
      <c r="H3812" s="124">
        <v>0.28114015999999997</v>
      </c>
      <c r="I3812" s="38">
        <f>IF(H3812&gt;30,QUOTIENT(H3812,30)*VLOOKUP(D3812,'报价表-配送'!$B$54:$I$58,8,0),0)+IF(AND(MOD(H3812,30)&gt;18,MOD(H3812,30)&lt;=30),1,0)*VLOOKUP(D3812,'报价表-配送'!$B$54:$I$58,8,0)</f>
        <v>0</v>
      </c>
      <c r="J3812" s="38">
        <f>IF(AND(MOD(H3812,30)&gt;8,MOD(H3812,30)&lt;=18),1*VLOOKUP(D3812,'报价表-配送'!$B$54:$I$58,7,0),0)</f>
        <v>0</v>
      </c>
      <c r="K3812" s="38">
        <f>IF(AND(MOD(H3812,30)&lt;=8,MOD(H3812,30)&gt;0),1,0)*VLOOKUP(D3812,'报价表-配送'!$B$54:$I$58,6,0)</f>
        <v>0</v>
      </c>
      <c r="L3812" s="121"/>
      <c r="M3812" s="126"/>
      <c r="N3812" s="127">
        <f t="shared" ref="N3812" si="341">SUM(I3812:L3812)</f>
        <v>0</v>
      </c>
    </row>
    <row r="3813" spans="1:14" x14ac:dyDescent="0.25">
      <c r="A3813" s="121" t="s">
        <v>105</v>
      </c>
      <c r="B3813" s="121" t="s">
        <v>108</v>
      </c>
      <c r="C3813" s="62">
        <f>VLOOKUP(B3813,合并仓明细!$D$2:$F$74,3,0)</f>
        <v>38</v>
      </c>
      <c r="D3813" s="122" t="s">
        <v>393</v>
      </c>
      <c r="E3813" s="123">
        <v>46087</v>
      </c>
      <c r="F3813" s="121" t="s">
        <v>66</v>
      </c>
      <c r="G3813" s="121">
        <v>7.94</v>
      </c>
      <c r="H3813" s="124"/>
      <c r="I3813" s="125"/>
      <c r="J3813" s="125"/>
      <c r="K3813" s="125"/>
      <c r="L3813" s="121"/>
      <c r="M3813" s="126"/>
      <c r="N3813" s="121"/>
    </row>
    <row r="3814" spans="1:14" x14ac:dyDescent="0.25">
      <c r="A3814" s="121" t="s">
        <v>105</v>
      </c>
      <c r="B3814" s="121" t="s">
        <v>108</v>
      </c>
      <c r="C3814" s="62">
        <f>VLOOKUP(B3814,合并仓明细!$D$2:$F$74,3,0)</f>
        <v>38</v>
      </c>
      <c r="D3814" s="122" t="s">
        <v>393</v>
      </c>
      <c r="E3814" s="123">
        <v>46090</v>
      </c>
      <c r="F3814" s="121" t="s">
        <v>66</v>
      </c>
      <c r="G3814" s="121">
        <v>5.9716666699999994</v>
      </c>
      <c r="H3814" s="124">
        <v>5.9716666699999995E-3</v>
      </c>
      <c r="I3814" s="125"/>
      <c r="J3814" s="125"/>
      <c r="K3814" s="125"/>
      <c r="L3814" s="37">
        <f>IF(H3814&gt;30,QUOTIENT(H3814,30)*VLOOKUP(D3814,'报价表-配送'!$B$54:$I$58,8,0),0)+IF(AND(MOD(H3814,30)&gt;18,MOD(H3814,30)&lt;=30),1,0)*VLOOKUP(D3814,'报价表-配送'!$B$54:$I$58,8,0)+IF(AND(MOD(H3814,30)&gt;8,MOD(H3814,30)&lt;=18),1*VLOOKUP(D3814,'报价表-配送'!$B$54:$I$58,7,0),0)+IF(AND(MOD(H3814,30)&lt;=8,MOD(H3814,30)&gt;2.5),1,0)*VLOOKUP(D3814,'报价表-配送'!$B$54:$I$58,6,0)+IF(AND(MOD(H3814,30)&lt;=2.5,MOD(H3814,30)&gt;=1.5),1,0)*VLOOKUP(D3814,'报价表-配送'!$B$54:$I$58,5,0)</f>
        <v>0</v>
      </c>
      <c r="M3814" s="39">
        <f>IF(AND(MOD(H3814,30)&lt;1.5,MOD(H3814,30)&gt;=0.5),H3814,0)*VLOOKUP(D3814,'报价表-配送'!$B$54:$I$58,4,0)*1000+IF(AND(MOD(H3814,30)&lt;0.5,MOD(H3814,30)&gt;=0.02),H3814,0)*VLOOKUP(D3814,'报价表-配送'!$B$54:$I$58,3,0)*1000+IF(AND(MOD(H3814,30)&lt;0.02),H3814,0)*VLOOKUP(D3814,'报价表-配送'!$B$54:$I$58,2,0)*1000</f>
        <v>0</v>
      </c>
      <c r="N3814" s="127">
        <f t="shared" ref="N3814:N3815" si="342">SUM(I3814:L3814)</f>
        <v>0</v>
      </c>
    </row>
    <row r="3815" spans="1:14" x14ac:dyDescent="0.25">
      <c r="A3815" s="121" t="s">
        <v>105</v>
      </c>
      <c r="B3815" s="121" t="s">
        <v>108</v>
      </c>
      <c r="C3815" s="62">
        <f>VLOOKUP(B3815,合并仓明细!$D$2:$F$74,3,0)</f>
        <v>38</v>
      </c>
      <c r="D3815" s="122" t="s">
        <v>393</v>
      </c>
      <c r="E3815" s="123">
        <v>46091</v>
      </c>
      <c r="F3815" s="121" t="s">
        <v>67</v>
      </c>
      <c r="G3815" s="121">
        <v>41.987369999999999</v>
      </c>
      <c r="H3815" s="124">
        <v>7.0470370000000004E-2</v>
      </c>
      <c r="I3815" s="38">
        <f>IF(H3815&gt;30,QUOTIENT(H3815,30)*VLOOKUP(D3815,'报价表-配送'!$B$54:$I$58,8,0),0)+IF(AND(MOD(H3815,30)&gt;18,MOD(H3815,30)&lt;=30),1,0)*VLOOKUP(D3815,'报价表-配送'!$B$54:$I$58,8,0)</f>
        <v>0</v>
      </c>
      <c r="J3815" s="38">
        <f>IF(AND(MOD(H3815,30)&gt;8,MOD(H3815,30)&lt;=18),1*VLOOKUP(D3815,'报价表-配送'!$B$54:$I$58,7,0),0)</f>
        <v>0</v>
      </c>
      <c r="K3815" s="38">
        <f>IF(AND(MOD(H3815,30)&lt;=8,MOD(H3815,30)&gt;0),1,0)*VLOOKUP(D3815,'报价表-配送'!$B$54:$I$58,6,0)</f>
        <v>0</v>
      </c>
      <c r="L3815" s="121"/>
      <c r="M3815" s="126"/>
      <c r="N3815" s="127">
        <f t="shared" si="342"/>
        <v>0</v>
      </c>
    </row>
    <row r="3816" spans="1:14" x14ac:dyDescent="0.25">
      <c r="A3816" s="121" t="s">
        <v>105</v>
      </c>
      <c r="B3816" s="121" t="s">
        <v>108</v>
      </c>
      <c r="C3816" s="62">
        <f>VLOOKUP(B3816,合并仓明细!$D$2:$F$74,3,0)</f>
        <v>38</v>
      </c>
      <c r="D3816" s="122" t="s">
        <v>393</v>
      </c>
      <c r="E3816" s="123">
        <v>46091</v>
      </c>
      <c r="F3816" s="121" t="s">
        <v>66</v>
      </c>
      <c r="G3816" s="121">
        <v>28.483000000000004</v>
      </c>
      <c r="H3816" s="124"/>
      <c r="I3816" s="125"/>
      <c r="J3816" s="125"/>
      <c r="K3816" s="125"/>
      <c r="L3816" s="121"/>
      <c r="M3816" s="126"/>
      <c r="N3816" s="121"/>
    </row>
    <row r="3817" spans="1:14" x14ac:dyDescent="0.25">
      <c r="A3817" s="121" t="s">
        <v>105</v>
      </c>
      <c r="B3817" s="121" t="s">
        <v>108</v>
      </c>
      <c r="C3817" s="62">
        <f>VLOOKUP(B3817,合并仓明细!$D$2:$F$74,3,0)</f>
        <v>38</v>
      </c>
      <c r="D3817" s="122" t="s">
        <v>393</v>
      </c>
      <c r="E3817" s="123">
        <v>46094</v>
      </c>
      <c r="F3817" s="121" t="s">
        <v>66</v>
      </c>
      <c r="G3817" s="121">
        <v>28.169999999999998</v>
      </c>
      <c r="H3817" s="124">
        <v>2.8169999999999997E-2</v>
      </c>
      <c r="I3817" s="125"/>
      <c r="J3817" s="125"/>
      <c r="K3817" s="125"/>
      <c r="L3817" s="37">
        <f>IF(H3817&gt;30,QUOTIENT(H3817,30)*VLOOKUP(D3817,'报价表-配送'!$B$54:$I$58,8,0),0)+IF(AND(MOD(H3817,30)&gt;18,MOD(H3817,30)&lt;=30),1,0)*VLOOKUP(D3817,'报价表-配送'!$B$54:$I$58,8,0)+IF(AND(MOD(H3817,30)&gt;8,MOD(H3817,30)&lt;=18),1*VLOOKUP(D3817,'报价表-配送'!$B$54:$I$58,7,0),0)+IF(AND(MOD(H3817,30)&lt;=8,MOD(H3817,30)&gt;2.5),1,0)*VLOOKUP(D3817,'报价表-配送'!$B$54:$I$58,6,0)+IF(AND(MOD(H3817,30)&lt;=2.5,MOD(H3817,30)&gt;=1.5),1,0)*VLOOKUP(D3817,'报价表-配送'!$B$54:$I$58,5,0)</f>
        <v>0</v>
      </c>
      <c r="M3817" s="39">
        <f>IF(AND(MOD(H3817,30)&lt;1.5,MOD(H3817,30)&gt;=0.5),H3817,0)*VLOOKUP(D3817,'报价表-配送'!$B$54:$I$58,4,0)*1000+IF(AND(MOD(H3817,30)&lt;0.5,MOD(H3817,30)&gt;=0.02),H3817,0)*VLOOKUP(D3817,'报价表-配送'!$B$54:$I$58,3,0)*1000+IF(AND(MOD(H3817,30)&lt;0.02),H3817,0)*VLOOKUP(D3817,'报价表-配送'!$B$54:$I$58,2,0)*1000</f>
        <v>0</v>
      </c>
      <c r="N3817" s="127">
        <f t="shared" ref="N3817:N3819" si="343">SUM(I3817:L3817)</f>
        <v>0</v>
      </c>
    </row>
    <row r="3818" spans="1:14" x14ac:dyDescent="0.25">
      <c r="A3818" s="121" t="s">
        <v>105</v>
      </c>
      <c r="B3818" s="121" t="s">
        <v>108</v>
      </c>
      <c r="C3818" s="62">
        <f>VLOOKUP(B3818,合并仓明细!$D$2:$F$74,3,0)</f>
        <v>38</v>
      </c>
      <c r="D3818" s="122" t="s">
        <v>393</v>
      </c>
      <c r="E3818" s="123">
        <v>46097</v>
      </c>
      <c r="F3818" s="121" t="s">
        <v>66</v>
      </c>
      <c r="G3818" s="121">
        <v>49.387500000000003</v>
      </c>
      <c r="H3818" s="124">
        <v>4.9387500000000001E-2</v>
      </c>
      <c r="I3818" s="125"/>
      <c r="J3818" s="125"/>
      <c r="K3818" s="125"/>
      <c r="L3818" s="37">
        <f>IF(H3818&gt;30,QUOTIENT(H3818,30)*VLOOKUP(D3818,'报价表-配送'!$B$54:$I$58,8,0),0)+IF(AND(MOD(H3818,30)&gt;18,MOD(H3818,30)&lt;=30),1,0)*VLOOKUP(D3818,'报价表-配送'!$B$54:$I$58,8,0)+IF(AND(MOD(H3818,30)&gt;8,MOD(H3818,30)&lt;=18),1*VLOOKUP(D3818,'报价表-配送'!$B$54:$I$58,7,0),0)+IF(AND(MOD(H3818,30)&lt;=8,MOD(H3818,30)&gt;2.5),1,0)*VLOOKUP(D3818,'报价表-配送'!$B$54:$I$58,6,0)+IF(AND(MOD(H3818,30)&lt;=2.5,MOD(H3818,30)&gt;=1.5),1,0)*VLOOKUP(D3818,'报价表-配送'!$B$54:$I$58,5,0)</f>
        <v>0</v>
      </c>
      <c r="M3818" s="39">
        <f>IF(AND(MOD(H3818,30)&lt;1.5,MOD(H3818,30)&gt;=0.5),H3818,0)*VLOOKUP(D3818,'报价表-配送'!$B$54:$I$58,4,0)*1000+IF(AND(MOD(H3818,30)&lt;0.5,MOD(H3818,30)&gt;=0.02),H3818,0)*VLOOKUP(D3818,'报价表-配送'!$B$54:$I$58,3,0)*1000+IF(AND(MOD(H3818,30)&lt;0.02),H3818,0)*VLOOKUP(D3818,'报价表-配送'!$B$54:$I$58,2,0)*1000</f>
        <v>0</v>
      </c>
      <c r="N3818" s="127">
        <f t="shared" si="343"/>
        <v>0</v>
      </c>
    </row>
    <row r="3819" spans="1:14" x14ac:dyDescent="0.25">
      <c r="A3819" s="121" t="s">
        <v>105</v>
      </c>
      <c r="B3819" s="121" t="s">
        <v>108</v>
      </c>
      <c r="C3819" s="62">
        <f>VLOOKUP(B3819,合并仓明细!$D$2:$F$74,3,0)</f>
        <v>38</v>
      </c>
      <c r="D3819" s="122" t="s">
        <v>393</v>
      </c>
      <c r="E3819" s="123">
        <v>46098</v>
      </c>
      <c r="F3819" s="121" t="s">
        <v>68</v>
      </c>
      <c r="G3819" s="121">
        <v>4.8542899999999998</v>
      </c>
      <c r="H3819" s="124">
        <v>0.11736312333000001</v>
      </c>
      <c r="I3819" s="46">
        <f>ROUNDUP(H3819/30,0)*VLOOKUP(D3819,'报价表-配送'!$B$54:$I$58,8,0)</f>
        <v>0</v>
      </c>
      <c r="J3819" s="125"/>
      <c r="K3819" s="125"/>
      <c r="L3819" s="121"/>
      <c r="M3819" s="126"/>
      <c r="N3819" s="127">
        <f t="shared" si="343"/>
        <v>0</v>
      </c>
    </row>
    <row r="3820" spans="1:14" x14ac:dyDescent="0.25">
      <c r="A3820" s="121" t="s">
        <v>105</v>
      </c>
      <c r="B3820" s="121" t="s">
        <v>108</v>
      </c>
      <c r="C3820" s="62">
        <f>VLOOKUP(B3820,合并仓明细!$D$2:$F$74,3,0)</f>
        <v>38</v>
      </c>
      <c r="D3820" s="122" t="s">
        <v>393</v>
      </c>
      <c r="E3820" s="123">
        <v>46098</v>
      </c>
      <c r="F3820" s="121" t="s">
        <v>67</v>
      </c>
      <c r="G3820" s="121">
        <v>16.908000000000001</v>
      </c>
      <c r="H3820" s="124"/>
      <c r="I3820" s="125"/>
      <c r="J3820" s="125"/>
      <c r="K3820" s="125"/>
      <c r="L3820" s="121"/>
      <c r="M3820" s="126"/>
      <c r="N3820" s="121"/>
    </row>
    <row r="3821" spans="1:14" x14ac:dyDescent="0.25">
      <c r="A3821" s="121" t="s">
        <v>105</v>
      </c>
      <c r="B3821" s="121" t="s">
        <v>108</v>
      </c>
      <c r="C3821" s="62">
        <f>VLOOKUP(B3821,合并仓明细!$D$2:$F$74,3,0)</f>
        <v>38</v>
      </c>
      <c r="D3821" s="122" t="s">
        <v>393</v>
      </c>
      <c r="E3821" s="123">
        <v>46098</v>
      </c>
      <c r="F3821" s="121" t="s">
        <v>66</v>
      </c>
      <c r="G3821" s="121">
        <v>95.600833330000015</v>
      </c>
      <c r="H3821" s="124"/>
      <c r="I3821" s="125"/>
      <c r="J3821" s="125"/>
      <c r="K3821" s="125"/>
      <c r="L3821" s="121"/>
      <c r="M3821" s="126"/>
      <c r="N3821" s="121"/>
    </row>
    <row r="3822" spans="1:14" x14ac:dyDescent="0.25">
      <c r="A3822" s="121" t="s">
        <v>105</v>
      </c>
      <c r="B3822" s="121" t="s">
        <v>108</v>
      </c>
      <c r="C3822" s="62">
        <f>VLOOKUP(B3822,合并仓明细!$D$2:$F$74,3,0)</f>
        <v>38</v>
      </c>
      <c r="D3822" s="122" t="s">
        <v>393</v>
      </c>
      <c r="E3822" s="123">
        <v>46099</v>
      </c>
      <c r="F3822" s="121" t="s">
        <v>66</v>
      </c>
      <c r="G3822" s="121">
        <v>15.63</v>
      </c>
      <c r="H3822" s="124">
        <v>1.5630000000000002E-2</v>
      </c>
      <c r="I3822" s="125"/>
      <c r="J3822" s="125"/>
      <c r="K3822" s="125"/>
      <c r="L3822" s="37">
        <f>IF(H3822&gt;30,QUOTIENT(H3822,30)*VLOOKUP(D3822,'报价表-配送'!$B$54:$I$58,8,0),0)+IF(AND(MOD(H3822,30)&gt;18,MOD(H3822,30)&lt;=30),1,0)*VLOOKUP(D3822,'报价表-配送'!$B$54:$I$58,8,0)+IF(AND(MOD(H3822,30)&gt;8,MOD(H3822,30)&lt;=18),1*VLOOKUP(D3822,'报价表-配送'!$B$54:$I$58,7,0),0)+IF(AND(MOD(H3822,30)&lt;=8,MOD(H3822,30)&gt;2.5),1,0)*VLOOKUP(D3822,'报价表-配送'!$B$54:$I$58,6,0)+IF(AND(MOD(H3822,30)&lt;=2.5,MOD(H3822,30)&gt;=1.5),1,0)*VLOOKUP(D3822,'报价表-配送'!$B$54:$I$58,5,0)</f>
        <v>0</v>
      </c>
      <c r="M3822" s="39">
        <f>IF(AND(MOD(H3822,30)&lt;1.5,MOD(H3822,30)&gt;=0.5),H3822,0)*VLOOKUP(D3822,'报价表-配送'!$B$54:$I$58,4,0)*1000+IF(AND(MOD(H3822,30)&lt;0.5,MOD(H3822,30)&gt;=0.02),H3822,0)*VLOOKUP(D3822,'报价表-配送'!$B$54:$I$58,3,0)*1000+IF(AND(MOD(H3822,30)&lt;0.02),H3822,0)*VLOOKUP(D3822,'报价表-配送'!$B$54:$I$58,2,0)*1000</f>
        <v>0</v>
      </c>
      <c r="N3822" s="127">
        <f t="shared" ref="N3822:N3823" si="344">SUM(I3822:L3822)</f>
        <v>0</v>
      </c>
    </row>
    <row r="3823" spans="1:14" x14ac:dyDescent="0.25">
      <c r="A3823" s="121" t="s">
        <v>105</v>
      </c>
      <c r="B3823" s="121" t="s">
        <v>108</v>
      </c>
      <c r="C3823" s="62">
        <f>VLOOKUP(B3823,合并仓明细!$D$2:$F$74,3,0)</f>
        <v>38</v>
      </c>
      <c r="D3823" s="122" t="s">
        <v>393</v>
      </c>
      <c r="E3823" s="123">
        <v>46100</v>
      </c>
      <c r="F3823" s="121" t="s">
        <v>67</v>
      </c>
      <c r="G3823" s="121">
        <v>5.4748489999999999</v>
      </c>
      <c r="H3823" s="124">
        <v>1.6510682329999998E-2</v>
      </c>
      <c r="I3823" s="38">
        <f>IF(H3823&gt;30,QUOTIENT(H3823,30)*VLOOKUP(D3823,'报价表-配送'!$B$54:$I$58,8,0),0)+IF(AND(MOD(H3823,30)&gt;18,MOD(H3823,30)&lt;=30),1,0)*VLOOKUP(D3823,'报价表-配送'!$B$54:$I$58,8,0)</f>
        <v>0</v>
      </c>
      <c r="J3823" s="38">
        <f>IF(AND(MOD(H3823,30)&gt;8,MOD(H3823,30)&lt;=18),1*VLOOKUP(D3823,'报价表-配送'!$B$54:$I$58,7,0),0)</f>
        <v>0</v>
      </c>
      <c r="K3823" s="38">
        <f>IF(AND(MOD(H3823,30)&lt;=8,MOD(H3823,30)&gt;0),1,0)*VLOOKUP(D3823,'报价表-配送'!$B$54:$I$58,6,0)</f>
        <v>0</v>
      </c>
      <c r="L3823" s="121"/>
      <c r="M3823" s="126"/>
      <c r="N3823" s="127">
        <f t="shared" si="344"/>
        <v>0</v>
      </c>
    </row>
    <row r="3824" spans="1:14" x14ac:dyDescent="0.25">
      <c r="A3824" s="121" t="s">
        <v>105</v>
      </c>
      <c r="B3824" s="121" t="s">
        <v>108</v>
      </c>
      <c r="C3824" s="62">
        <f>VLOOKUP(B3824,合并仓明细!$D$2:$F$74,3,0)</f>
        <v>38</v>
      </c>
      <c r="D3824" s="122" t="s">
        <v>393</v>
      </c>
      <c r="E3824" s="123">
        <v>46100</v>
      </c>
      <c r="F3824" s="121" t="s">
        <v>66</v>
      </c>
      <c r="G3824" s="121">
        <v>11.035833329999999</v>
      </c>
      <c r="H3824" s="124"/>
      <c r="I3824" s="125"/>
      <c r="J3824" s="125"/>
      <c r="K3824" s="125"/>
      <c r="L3824" s="121"/>
      <c r="M3824" s="126"/>
      <c r="N3824" s="121"/>
    </row>
    <row r="3825" spans="1:14" x14ac:dyDescent="0.25">
      <c r="A3825" s="121" t="s">
        <v>105</v>
      </c>
      <c r="B3825" s="121" t="s">
        <v>108</v>
      </c>
      <c r="C3825" s="62">
        <f>VLOOKUP(B3825,合并仓明细!$D$2:$F$74,3,0)</f>
        <v>38</v>
      </c>
      <c r="D3825" s="122" t="s">
        <v>393</v>
      </c>
      <c r="E3825" s="123">
        <v>46101</v>
      </c>
      <c r="F3825" s="121" t="s">
        <v>67</v>
      </c>
      <c r="G3825" s="121">
        <v>2.8676499999999998</v>
      </c>
      <c r="H3825" s="124">
        <v>3.7152649999999995E-2</v>
      </c>
      <c r="I3825" s="38">
        <f>IF(H3825&gt;30,QUOTIENT(H3825,30)*VLOOKUP(D3825,'报价表-配送'!$B$54:$I$58,8,0),0)+IF(AND(MOD(H3825,30)&gt;18,MOD(H3825,30)&lt;=30),1,0)*VLOOKUP(D3825,'报价表-配送'!$B$54:$I$58,8,0)</f>
        <v>0</v>
      </c>
      <c r="J3825" s="38">
        <f>IF(AND(MOD(H3825,30)&gt;8,MOD(H3825,30)&lt;=18),1*VLOOKUP(D3825,'报价表-配送'!$B$54:$I$58,7,0),0)</f>
        <v>0</v>
      </c>
      <c r="K3825" s="38">
        <f>IF(AND(MOD(H3825,30)&lt;=8,MOD(H3825,30)&gt;0),1,0)*VLOOKUP(D3825,'报价表-配送'!$B$54:$I$58,6,0)</f>
        <v>0</v>
      </c>
      <c r="L3825" s="121"/>
      <c r="M3825" s="126"/>
      <c r="N3825" s="127">
        <f t="shared" ref="N3825" si="345">SUM(I3825:L3825)</f>
        <v>0</v>
      </c>
    </row>
    <row r="3826" spans="1:14" x14ac:dyDescent="0.25">
      <c r="A3826" s="121" t="s">
        <v>105</v>
      </c>
      <c r="B3826" s="121" t="s">
        <v>108</v>
      </c>
      <c r="C3826" s="62">
        <f>VLOOKUP(B3826,合并仓明细!$D$2:$F$74,3,0)</f>
        <v>38</v>
      </c>
      <c r="D3826" s="122" t="s">
        <v>393</v>
      </c>
      <c r="E3826" s="123">
        <v>46101</v>
      </c>
      <c r="F3826" s="121" t="s">
        <v>66</v>
      </c>
      <c r="G3826" s="121">
        <v>34.284999999999997</v>
      </c>
      <c r="H3826" s="124"/>
      <c r="I3826" s="125"/>
      <c r="J3826" s="125"/>
      <c r="K3826" s="125"/>
      <c r="L3826" s="121"/>
      <c r="M3826" s="126"/>
      <c r="N3826" s="121"/>
    </row>
    <row r="3827" spans="1:14" x14ac:dyDescent="0.25">
      <c r="A3827" s="121" t="s">
        <v>105</v>
      </c>
      <c r="B3827" s="121" t="s">
        <v>108</v>
      </c>
      <c r="C3827" s="62">
        <f>VLOOKUP(B3827,合并仓明细!$D$2:$F$74,3,0)</f>
        <v>38</v>
      </c>
      <c r="D3827" s="122" t="s">
        <v>393</v>
      </c>
      <c r="E3827" s="123">
        <v>46107</v>
      </c>
      <c r="F3827" s="121" t="s">
        <v>67</v>
      </c>
      <c r="G3827" s="121">
        <v>8.9533889999999996</v>
      </c>
      <c r="H3827" s="124">
        <v>9.4567888999999988E-2</v>
      </c>
      <c r="I3827" s="38">
        <f>IF(H3827&gt;30,QUOTIENT(H3827,30)*VLOOKUP(D3827,'报价表-配送'!$B$54:$I$58,8,0),0)+IF(AND(MOD(H3827,30)&gt;18,MOD(H3827,30)&lt;=30),1,0)*VLOOKUP(D3827,'报价表-配送'!$B$54:$I$58,8,0)</f>
        <v>0</v>
      </c>
      <c r="J3827" s="38">
        <f>IF(AND(MOD(H3827,30)&gt;8,MOD(H3827,30)&lt;=18),1*VLOOKUP(D3827,'报价表-配送'!$B$54:$I$58,7,0),0)</f>
        <v>0</v>
      </c>
      <c r="K3827" s="38">
        <f>IF(AND(MOD(H3827,30)&lt;=8,MOD(H3827,30)&gt;0),1,0)*VLOOKUP(D3827,'报价表-配送'!$B$54:$I$58,6,0)</f>
        <v>0</v>
      </c>
      <c r="L3827" s="121"/>
      <c r="M3827" s="126"/>
      <c r="N3827" s="127">
        <f t="shared" ref="N3827" si="346">SUM(I3827:L3827)</f>
        <v>0</v>
      </c>
    </row>
    <row r="3828" spans="1:14" x14ac:dyDescent="0.25">
      <c r="A3828" s="121" t="s">
        <v>105</v>
      </c>
      <c r="B3828" s="121" t="s">
        <v>108</v>
      </c>
      <c r="C3828" s="62">
        <f>VLOOKUP(B3828,合并仓明细!$D$2:$F$74,3,0)</f>
        <v>38</v>
      </c>
      <c r="D3828" s="122" t="s">
        <v>393</v>
      </c>
      <c r="E3828" s="123">
        <v>46107</v>
      </c>
      <c r="F3828" s="121" t="s">
        <v>66</v>
      </c>
      <c r="G3828" s="121">
        <v>85.614499999999992</v>
      </c>
      <c r="H3828" s="124"/>
      <c r="I3828" s="125"/>
      <c r="J3828" s="125"/>
      <c r="K3828" s="125"/>
      <c r="L3828" s="121"/>
      <c r="M3828" s="126"/>
      <c r="N3828" s="121"/>
    </row>
    <row r="3829" spans="1:14" x14ac:dyDescent="0.25">
      <c r="A3829" s="121" t="s">
        <v>105</v>
      </c>
      <c r="B3829" s="121" t="s">
        <v>109</v>
      </c>
      <c r="C3829" s="62">
        <f>VLOOKUP(B3829,合并仓明细!$D$2:$F$74,3,0)</f>
        <v>63</v>
      </c>
      <c r="D3829" s="122" t="s">
        <v>393</v>
      </c>
      <c r="E3829" s="123">
        <v>45947</v>
      </c>
      <c r="F3829" s="121" t="s">
        <v>68</v>
      </c>
      <c r="G3829" s="121">
        <v>7039.7118</v>
      </c>
      <c r="H3829" s="124">
        <v>11.201179459980001</v>
      </c>
      <c r="I3829" s="46">
        <f>ROUNDUP(H3829/30,0)*VLOOKUP(D3829,'报价表-配送'!$B$54:$I$58,8,0)</f>
        <v>0</v>
      </c>
      <c r="J3829" s="125"/>
      <c r="K3829" s="125"/>
      <c r="L3829" s="121"/>
      <c r="M3829" s="126"/>
      <c r="N3829" s="127">
        <f t="shared" ref="N3829" si="347">SUM(I3829:L3829)</f>
        <v>0</v>
      </c>
    </row>
    <row r="3830" spans="1:14" x14ac:dyDescent="0.25">
      <c r="A3830" s="121" t="s">
        <v>105</v>
      </c>
      <c r="B3830" s="121" t="s">
        <v>109</v>
      </c>
      <c r="C3830" s="62">
        <f>VLOOKUP(B3830,合并仓明细!$D$2:$F$74,3,0)</f>
        <v>63</v>
      </c>
      <c r="D3830" s="122" t="s">
        <v>393</v>
      </c>
      <c r="E3830" s="123">
        <v>45947</v>
      </c>
      <c r="F3830" s="121" t="s">
        <v>67</v>
      </c>
      <c r="G3830" s="121">
        <v>2136.0876600000001</v>
      </c>
      <c r="H3830" s="124"/>
      <c r="I3830" s="125"/>
      <c r="J3830" s="125"/>
      <c r="K3830" s="125"/>
      <c r="L3830" s="121"/>
      <c r="M3830" s="126"/>
      <c r="N3830" s="121"/>
    </row>
    <row r="3831" spans="1:14" x14ac:dyDescent="0.25">
      <c r="A3831" s="121" t="s">
        <v>105</v>
      </c>
      <c r="B3831" s="121" t="s">
        <v>109</v>
      </c>
      <c r="C3831" s="62">
        <f>VLOOKUP(B3831,合并仓明细!$D$2:$F$74,3,0)</f>
        <v>63</v>
      </c>
      <c r="D3831" s="122" t="s">
        <v>393</v>
      </c>
      <c r="E3831" s="123">
        <v>45947</v>
      </c>
      <c r="F3831" s="121" t="s">
        <v>66</v>
      </c>
      <c r="G3831" s="121">
        <v>2025.3799999800003</v>
      </c>
      <c r="H3831" s="124"/>
      <c r="I3831" s="125"/>
      <c r="J3831" s="125"/>
      <c r="K3831" s="125"/>
      <c r="L3831" s="121"/>
      <c r="M3831" s="126"/>
      <c r="N3831" s="121"/>
    </row>
    <row r="3832" spans="1:14" x14ac:dyDescent="0.25">
      <c r="A3832" s="121" t="s">
        <v>105</v>
      </c>
      <c r="B3832" s="121" t="s">
        <v>109</v>
      </c>
      <c r="C3832" s="62">
        <f>VLOOKUP(B3832,合并仓明细!$D$2:$F$74,3,0)</f>
        <v>63</v>
      </c>
      <c r="D3832" s="122" t="s">
        <v>393</v>
      </c>
      <c r="E3832" s="123">
        <v>45950</v>
      </c>
      <c r="F3832" s="121" t="s">
        <v>66</v>
      </c>
      <c r="G3832" s="121">
        <v>1388.3549999999996</v>
      </c>
      <c r="H3832" s="124">
        <v>1.3883549999999996</v>
      </c>
      <c r="I3832" s="125"/>
      <c r="J3832" s="125"/>
      <c r="K3832" s="125"/>
      <c r="L3832" s="37">
        <f>IF(H3832&gt;30,QUOTIENT(H3832,30)*VLOOKUP(D3832,'报价表-配送'!$B$54:$I$58,8,0),0)+IF(AND(MOD(H3832,30)&gt;18,MOD(H3832,30)&lt;=30),1,0)*VLOOKUP(D3832,'报价表-配送'!$B$54:$I$58,8,0)+IF(AND(MOD(H3832,30)&gt;8,MOD(H3832,30)&lt;=18),1*VLOOKUP(D3832,'报价表-配送'!$B$54:$I$58,7,0),0)+IF(AND(MOD(H3832,30)&lt;=8,MOD(H3832,30)&gt;2.5),1,0)*VLOOKUP(D3832,'报价表-配送'!$B$54:$I$58,6,0)+IF(AND(MOD(H3832,30)&lt;=2.5,MOD(H3832,30)&gt;=1.5),1,0)*VLOOKUP(D3832,'报价表-配送'!$B$54:$I$58,5,0)</f>
        <v>0</v>
      </c>
      <c r="M3832" s="39">
        <f>IF(AND(MOD(H3832,30)&lt;1.5,MOD(H3832,30)&gt;=0.5),H3832,0)*VLOOKUP(D3832,'报价表-配送'!$B$54:$I$58,4,0)*1000+IF(AND(MOD(H3832,30)&lt;0.5,MOD(H3832,30)&gt;=0.02),H3832,0)*VLOOKUP(D3832,'报价表-配送'!$B$54:$I$58,3,0)*1000+IF(AND(MOD(H3832,30)&lt;0.02),H3832,0)*VLOOKUP(D3832,'报价表-配送'!$B$54:$I$58,2,0)*1000</f>
        <v>0</v>
      </c>
      <c r="N3832" s="127">
        <f t="shared" ref="N3832:N3834" si="348">SUM(I3832:L3832)</f>
        <v>0</v>
      </c>
    </row>
    <row r="3833" spans="1:14" x14ac:dyDescent="0.25">
      <c r="A3833" s="121" t="s">
        <v>105</v>
      </c>
      <c r="B3833" s="121" t="s">
        <v>109</v>
      </c>
      <c r="C3833" s="62">
        <f>VLOOKUP(B3833,合并仓明细!$D$2:$F$74,3,0)</f>
        <v>63</v>
      </c>
      <c r="D3833" s="122" t="s">
        <v>393</v>
      </c>
      <c r="E3833" s="123">
        <v>45951</v>
      </c>
      <c r="F3833" s="121" t="s">
        <v>66</v>
      </c>
      <c r="G3833" s="121">
        <v>1408.8700000000001</v>
      </c>
      <c r="H3833" s="124">
        <v>1.4088700000000001</v>
      </c>
      <c r="I3833" s="125"/>
      <c r="J3833" s="125"/>
      <c r="K3833" s="125"/>
      <c r="L3833" s="37">
        <f>IF(H3833&gt;30,QUOTIENT(H3833,30)*VLOOKUP(D3833,'报价表-配送'!$B$54:$I$58,8,0),0)+IF(AND(MOD(H3833,30)&gt;18,MOD(H3833,30)&lt;=30),1,0)*VLOOKUP(D3833,'报价表-配送'!$B$54:$I$58,8,0)+IF(AND(MOD(H3833,30)&gt;8,MOD(H3833,30)&lt;=18),1*VLOOKUP(D3833,'报价表-配送'!$B$54:$I$58,7,0),0)+IF(AND(MOD(H3833,30)&lt;=8,MOD(H3833,30)&gt;2.5),1,0)*VLOOKUP(D3833,'报价表-配送'!$B$54:$I$58,6,0)+IF(AND(MOD(H3833,30)&lt;=2.5,MOD(H3833,30)&gt;=1.5),1,0)*VLOOKUP(D3833,'报价表-配送'!$B$54:$I$58,5,0)</f>
        <v>0</v>
      </c>
      <c r="M3833" s="39">
        <f>IF(AND(MOD(H3833,30)&lt;1.5,MOD(H3833,30)&gt;=0.5),H3833,0)*VLOOKUP(D3833,'报价表-配送'!$B$54:$I$58,4,0)*1000+IF(AND(MOD(H3833,30)&lt;0.5,MOD(H3833,30)&gt;=0.02),H3833,0)*VLOOKUP(D3833,'报价表-配送'!$B$54:$I$58,3,0)*1000+IF(AND(MOD(H3833,30)&lt;0.02),H3833,0)*VLOOKUP(D3833,'报价表-配送'!$B$54:$I$58,2,0)*1000</f>
        <v>0</v>
      </c>
      <c r="N3833" s="127">
        <f t="shared" si="348"/>
        <v>0</v>
      </c>
    </row>
    <row r="3834" spans="1:14" x14ac:dyDescent="0.25">
      <c r="A3834" s="121" t="s">
        <v>105</v>
      </c>
      <c r="B3834" s="121" t="s">
        <v>109</v>
      </c>
      <c r="C3834" s="62">
        <f>VLOOKUP(B3834,合并仓明细!$D$2:$F$74,3,0)</f>
        <v>63</v>
      </c>
      <c r="D3834" s="122" t="s">
        <v>393</v>
      </c>
      <c r="E3834" s="123">
        <v>45958</v>
      </c>
      <c r="F3834" s="121" t="s">
        <v>68</v>
      </c>
      <c r="G3834" s="121">
        <v>46.928599999999996</v>
      </c>
      <c r="H3834" s="124">
        <v>5.6290408490500008</v>
      </c>
      <c r="I3834" s="46">
        <f>ROUNDUP(H3834/30,0)*VLOOKUP(D3834,'报价表-配送'!$B$54:$I$58,8,0)</f>
        <v>0</v>
      </c>
      <c r="J3834" s="125"/>
      <c r="K3834" s="125"/>
      <c r="L3834" s="121"/>
      <c r="M3834" s="126"/>
      <c r="N3834" s="127">
        <f t="shared" si="348"/>
        <v>0</v>
      </c>
    </row>
    <row r="3835" spans="1:14" x14ac:dyDescent="0.25">
      <c r="A3835" s="121" t="s">
        <v>105</v>
      </c>
      <c r="B3835" s="121" t="s">
        <v>109</v>
      </c>
      <c r="C3835" s="62">
        <f>VLOOKUP(B3835,合并仓明细!$D$2:$F$74,3,0)</f>
        <v>63</v>
      </c>
      <c r="D3835" s="122" t="s">
        <v>393</v>
      </c>
      <c r="E3835" s="123">
        <v>45958</v>
      </c>
      <c r="F3835" s="121" t="s">
        <v>67</v>
      </c>
      <c r="G3835" s="121">
        <v>3759.1213920000005</v>
      </c>
      <c r="H3835" s="124"/>
      <c r="I3835" s="125"/>
      <c r="J3835" s="125"/>
      <c r="K3835" s="125"/>
      <c r="L3835" s="121"/>
      <c r="M3835" s="126"/>
      <c r="N3835" s="121"/>
    </row>
    <row r="3836" spans="1:14" x14ac:dyDescent="0.25">
      <c r="A3836" s="121" t="s">
        <v>105</v>
      </c>
      <c r="B3836" s="121" t="s">
        <v>109</v>
      </c>
      <c r="C3836" s="62">
        <f>VLOOKUP(B3836,合并仓明细!$D$2:$F$74,3,0)</f>
        <v>63</v>
      </c>
      <c r="D3836" s="122" t="s">
        <v>393</v>
      </c>
      <c r="E3836" s="123">
        <v>45958</v>
      </c>
      <c r="F3836" s="121" t="s">
        <v>66</v>
      </c>
      <c r="G3836" s="121">
        <v>1822.9908570499995</v>
      </c>
      <c r="H3836" s="124"/>
      <c r="I3836" s="125"/>
      <c r="J3836" s="125"/>
      <c r="K3836" s="125"/>
      <c r="L3836" s="121"/>
      <c r="M3836" s="126"/>
      <c r="N3836" s="121"/>
    </row>
    <row r="3837" spans="1:14" x14ac:dyDescent="0.25">
      <c r="A3837" s="121" t="s">
        <v>105</v>
      </c>
      <c r="B3837" s="121" t="s">
        <v>109</v>
      </c>
      <c r="C3837" s="62">
        <f>VLOOKUP(B3837,合并仓明细!$D$2:$F$74,3,0)</f>
        <v>63</v>
      </c>
      <c r="D3837" s="122" t="s">
        <v>393</v>
      </c>
      <c r="E3837" s="123">
        <v>45959</v>
      </c>
      <c r="F3837" s="121" t="s">
        <v>67</v>
      </c>
      <c r="G3837" s="121">
        <v>14749.312668</v>
      </c>
      <c r="H3837" s="124">
        <v>16.286743381610002</v>
      </c>
      <c r="I3837" s="38">
        <f>IF(H3837&gt;30,QUOTIENT(H3837,30)*VLOOKUP(D3837,'报价表-配送'!$B$54:$I$58,8,0),0)+IF(AND(MOD(H3837,30)&gt;18,MOD(H3837,30)&lt;=30),1,0)*VLOOKUP(D3837,'报价表-配送'!$B$54:$I$58,8,0)</f>
        <v>0</v>
      </c>
      <c r="J3837" s="38">
        <f>IF(AND(MOD(H3837,30)&gt;8,MOD(H3837,30)&lt;=18),1*VLOOKUP(D3837,'报价表-配送'!$B$54:$I$58,7,0),0)</f>
        <v>0</v>
      </c>
      <c r="K3837" s="38">
        <f>IF(AND(MOD(H3837,30)&lt;=8,MOD(H3837,30)&gt;0),1,0)*VLOOKUP(D3837,'报价表-配送'!$B$54:$I$58,6,0)</f>
        <v>0</v>
      </c>
      <c r="L3837" s="121"/>
      <c r="M3837" s="126"/>
      <c r="N3837" s="127">
        <f t="shared" ref="N3837" si="349">SUM(I3837:L3837)</f>
        <v>0</v>
      </c>
    </row>
    <row r="3838" spans="1:14" x14ac:dyDescent="0.25">
      <c r="A3838" s="121" t="s">
        <v>105</v>
      </c>
      <c r="B3838" s="121" t="s">
        <v>109</v>
      </c>
      <c r="C3838" s="62">
        <f>VLOOKUP(B3838,合并仓明细!$D$2:$F$74,3,0)</f>
        <v>63</v>
      </c>
      <c r="D3838" s="122" t="s">
        <v>393</v>
      </c>
      <c r="E3838" s="123">
        <v>45959</v>
      </c>
      <c r="F3838" s="121" t="s">
        <v>66</v>
      </c>
      <c r="G3838" s="121">
        <v>1537.4307136099999</v>
      </c>
      <c r="H3838" s="124"/>
      <c r="I3838" s="125"/>
      <c r="J3838" s="125"/>
      <c r="K3838" s="125"/>
      <c r="L3838" s="121"/>
      <c r="M3838" s="126"/>
      <c r="N3838" s="121"/>
    </row>
    <row r="3839" spans="1:14" x14ac:dyDescent="0.25">
      <c r="A3839" s="121" t="s">
        <v>105</v>
      </c>
      <c r="B3839" s="121" t="s">
        <v>109</v>
      </c>
      <c r="C3839" s="62">
        <f>VLOOKUP(B3839,合并仓明细!$D$2:$F$74,3,0)</f>
        <v>63</v>
      </c>
      <c r="D3839" s="122" t="s">
        <v>393</v>
      </c>
      <c r="E3839" s="123">
        <v>45968</v>
      </c>
      <c r="F3839" s="121" t="s">
        <v>66</v>
      </c>
      <c r="G3839" s="121">
        <v>1516.20333329</v>
      </c>
      <c r="H3839" s="124">
        <v>1.51620333329</v>
      </c>
      <c r="I3839" s="125"/>
      <c r="J3839" s="125"/>
      <c r="K3839" s="125"/>
      <c r="L3839" s="37">
        <f>IF(H3839&gt;30,QUOTIENT(H3839,30)*VLOOKUP(D3839,'报价表-配送'!$B$54:$I$58,8,0),0)+IF(AND(MOD(H3839,30)&gt;18,MOD(H3839,30)&lt;=30),1,0)*VLOOKUP(D3839,'报价表-配送'!$B$54:$I$58,8,0)+IF(AND(MOD(H3839,30)&gt;8,MOD(H3839,30)&lt;=18),1*VLOOKUP(D3839,'报价表-配送'!$B$54:$I$58,7,0),0)+IF(AND(MOD(H3839,30)&lt;=8,MOD(H3839,30)&gt;2.5),1,0)*VLOOKUP(D3839,'报价表-配送'!$B$54:$I$58,6,0)+IF(AND(MOD(H3839,30)&lt;=2.5,MOD(H3839,30)&gt;=1.5),1,0)*VLOOKUP(D3839,'报价表-配送'!$B$54:$I$58,5,0)</f>
        <v>0</v>
      </c>
      <c r="M3839" s="39">
        <f>IF(AND(MOD(H3839,30)&lt;1.5,MOD(H3839,30)&gt;=0.5),H3839,0)*VLOOKUP(D3839,'报价表-配送'!$B$54:$I$58,4,0)*1000+IF(AND(MOD(H3839,30)&lt;0.5,MOD(H3839,30)&gt;=0.02),H3839,0)*VLOOKUP(D3839,'报价表-配送'!$B$54:$I$58,3,0)*1000+IF(AND(MOD(H3839,30)&lt;0.02),H3839,0)*VLOOKUP(D3839,'报价表-配送'!$B$54:$I$58,2,0)*1000</f>
        <v>0</v>
      </c>
      <c r="N3839" s="127">
        <f t="shared" ref="N3839:N3840" si="350">SUM(I3839:L3839)</f>
        <v>0</v>
      </c>
    </row>
    <row r="3840" spans="1:14" x14ac:dyDescent="0.25">
      <c r="A3840" s="121" t="s">
        <v>105</v>
      </c>
      <c r="B3840" s="121" t="s">
        <v>109</v>
      </c>
      <c r="C3840" s="62">
        <f>VLOOKUP(B3840,合并仓明细!$D$2:$F$74,3,0)</f>
        <v>63</v>
      </c>
      <c r="D3840" s="122" t="s">
        <v>393</v>
      </c>
      <c r="E3840" s="123">
        <v>45972</v>
      </c>
      <c r="F3840" s="121" t="s">
        <v>67</v>
      </c>
      <c r="G3840" s="121">
        <v>5481.5871379999999</v>
      </c>
      <c r="H3840" s="124">
        <v>7.8333818039300001</v>
      </c>
      <c r="I3840" s="38">
        <f>IF(H3840&gt;30,QUOTIENT(H3840,30)*VLOOKUP(D3840,'报价表-配送'!$B$54:$I$58,8,0),0)+IF(AND(MOD(H3840,30)&gt;18,MOD(H3840,30)&lt;=30),1,0)*VLOOKUP(D3840,'报价表-配送'!$B$54:$I$58,8,0)</f>
        <v>0</v>
      </c>
      <c r="J3840" s="38">
        <f>IF(AND(MOD(H3840,30)&gt;8,MOD(H3840,30)&lt;=18),1*VLOOKUP(D3840,'报价表-配送'!$B$54:$I$58,7,0),0)</f>
        <v>0</v>
      </c>
      <c r="K3840" s="38">
        <f>IF(AND(MOD(H3840,30)&lt;=8,MOD(H3840,30)&gt;0),1,0)*VLOOKUP(D3840,'报价表-配送'!$B$54:$I$58,6,0)</f>
        <v>0</v>
      </c>
      <c r="L3840" s="121"/>
      <c r="M3840" s="126"/>
      <c r="N3840" s="127">
        <f t="shared" si="350"/>
        <v>0</v>
      </c>
    </row>
    <row r="3841" spans="1:14" x14ac:dyDescent="0.25">
      <c r="A3841" s="121" t="s">
        <v>105</v>
      </c>
      <c r="B3841" s="121" t="s">
        <v>109</v>
      </c>
      <c r="C3841" s="62">
        <f>VLOOKUP(B3841,合并仓明细!$D$2:$F$74,3,0)</f>
        <v>63</v>
      </c>
      <c r="D3841" s="122" t="s">
        <v>393</v>
      </c>
      <c r="E3841" s="123">
        <v>45972</v>
      </c>
      <c r="F3841" s="121" t="s">
        <v>66</v>
      </c>
      <c r="G3841" s="121">
        <v>2351.7946659300001</v>
      </c>
      <c r="H3841" s="124"/>
      <c r="I3841" s="125"/>
      <c r="J3841" s="125"/>
      <c r="K3841" s="125"/>
      <c r="L3841" s="121"/>
      <c r="M3841" s="126"/>
      <c r="N3841" s="121"/>
    </row>
    <row r="3842" spans="1:14" x14ac:dyDescent="0.25">
      <c r="A3842" s="121" t="s">
        <v>105</v>
      </c>
      <c r="B3842" s="121" t="s">
        <v>109</v>
      </c>
      <c r="C3842" s="62">
        <f>VLOOKUP(B3842,合并仓明细!$D$2:$F$74,3,0)</f>
        <v>63</v>
      </c>
      <c r="D3842" s="122" t="s">
        <v>393</v>
      </c>
      <c r="E3842" s="123">
        <v>45974</v>
      </c>
      <c r="F3842" s="121" t="s">
        <v>66</v>
      </c>
      <c r="G3842" s="121">
        <v>848.01499926999986</v>
      </c>
      <c r="H3842" s="124">
        <v>0.8480149992699999</v>
      </c>
      <c r="I3842" s="125"/>
      <c r="J3842" s="125"/>
      <c r="K3842" s="125"/>
      <c r="L3842" s="37">
        <f>IF(H3842&gt;30,QUOTIENT(H3842,30)*VLOOKUP(D3842,'报价表-配送'!$B$54:$I$58,8,0),0)+IF(AND(MOD(H3842,30)&gt;18,MOD(H3842,30)&lt;=30),1,0)*VLOOKUP(D3842,'报价表-配送'!$B$54:$I$58,8,0)+IF(AND(MOD(H3842,30)&gt;8,MOD(H3842,30)&lt;=18),1*VLOOKUP(D3842,'报价表-配送'!$B$54:$I$58,7,0),0)+IF(AND(MOD(H3842,30)&lt;=8,MOD(H3842,30)&gt;2.5),1,0)*VLOOKUP(D3842,'报价表-配送'!$B$54:$I$58,6,0)+IF(AND(MOD(H3842,30)&lt;=2.5,MOD(H3842,30)&gt;=1.5),1,0)*VLOOKUP(D3842,'报价表-配送'!$B$54:$I$58,5,0)</f>
        <v>0</v>
      </c>
      <c r="M3842" s="39">
        <f>IF(AND(MOD(H3842,30)&lt;1.5,MOD(H3842,30)&gt;=0.5),H3842,0)*VLOOKUP(D3842,'报价表-配送'!$B$54:$I$58,4,0)*1000+IF(AND(MOD(H3842,30)&lt;0.5,MOD(H3842,30)&gt;=0.02),H3842,0)*VLOOKUP(D3842,'报价表-配送'!$B$54:$I$58,3,0)*1000+IF(AND(MOD(H3842,30)&lt;0.02),H3842,0)*VLOOKUP(D3842,'报价表-配送'!$B$54:$I$58,2,0)*1000</f>
        <v>0</v>
      </c>
      <c r="N3842" s="127">
        <f t="shared" ref="N3842:N3844" si="351">SUM(I3842:L3842)</f>
        <v>0</v>
      </c>
    </row>
    <row r="3843" spans="1:14" x14ac:dyDescent="0.25">
      <c r="A3843" s="121" t="s">
        <v>105</v>
      </c>
      <c r="B3843" s="121" t="s">
        <v>109</v>
      </c>
      <c r="C3843" s="62">
        <f>VLOOKUP(B3843,合并仓明细!$D$2:$F$74,3,0)</f>
        <v>63</v>
      </c>
      <c r="D3843" s="122" t="s">
        <v>393</v>
      </c>
      <c r="E3843" s="123">
        <v>45978</v>
      </c>
      <c r="F3843" s="121" t="s">
        <v>66</v>
      </c>
      <c r="G3843" s="121">
        <v>17.790000000000003</v>
      </c>
      <c r="H3843" s="124">
        <v>1.7790000000000004E-2</v>
      </c>
      <c r="I3843" s="125"/>
      <c r="J3843" s="125"/>
      <c r="K3843" s="125"/>
      <c r="L3843" s="37">
        <f>IF(H3843&gt;30,QUOTIENT(H3843,30)*VLOOKUP(D3843,'报价表-配送'!$B$54:$I$58,8,0),0)+IF(AND(MOD(H3843,30)&gt;18,MOD(H3843,30)&lt;=30),1,0)*VLOOKUP(D3843,'报价表-配送'!$B$54:$I$58,8,0)+IF(AND(MOD(H3843,30)&gt;8,MOD(H3843,30)&lt;=18),1*VLOOKUP(D3843,'报价表-配送'!$B$54:$I$58,7,0),0)+IF(AND(MOD(H3843,30)&lt;=8,MOD(H3843,30)&gt;2.5),1,0)*VLOOKUP(D3843,'报价表-配送'!$B$54:$I$58,6,0)+IF(AND(MOD(H3843,30)&lt;=2.5,MOD(H3843,30)&gt;=1.5),1,0)*VLOOKUP(D3843,'报价表-配送'!$B$54:$I$58,5,0)</f>
        <v>0</v>
      </c>
      <c r="M3843" s="39">
        <f>IF(AND(MOD(H3843,30)&lt;1.5,MOD(H3843,30)&gt;=0.5),H3843,0)*VLOOKUP(D3843,'报价表-配送'!$B$54:$I$58,4,0)*1000+IF(AND(MOD(H3843,30)&lt;0.5,MOD(H3843,30)&gt;=0.02),H3843,0)*VLOOKUP(D3843,'报价表-配送'!$B$54:$I$58,3,0)*1000+IF(AND(MOD(H3843,30)&lt;0.02),H3843,0)*VLOOKUP(D3843,'报价表-配送'!$B$54:$I$58,2,0)*1000</f>
        <v>0</v>
      </c>
      <c r="N3843" s="127">
        <f t="shared" si="351"/>
        <v>0</v>
      </c>
    </row>
    <row r="3844" spans="1:14" x14ac:dyDescent="0.25">
      <c r="A3844" s="121" t="s">
        <v>105</v>
      </c>
      <c r="B3844" s="121" t="s">
        <v>109</v>
      </c>
      <c r="C3844" s="62">
        <f>VLOOKUP(B3844,合并仓明细!$D$2:$F$74,3,0)</f>
        <v>63</v>
      </c>
      <c r="D3844" s="122" t="s">
        <v>393</v>
      </c>
      <c r="E3844" s="123">
        <v>45982</v>
      </c>
      <c r="F3844" s="121" t="s">
        <v>68</v>
      </c>
      <c r="G3844" s="121">
        <v>808.25711999999999</v>
      </c>
      <c r="H3844" s="124">
        <v>1.7602904530999999</v>
      </c>
      <c r="I3844" s="46">
        <f>ROUNDUP(H3844/30,0)*VLOOKUP(D3844,'报价表-配送'!$B$54:$I$58,8,0)</f>
        <v>0</v>
      </c>
      <c r="J3844" s="125"/>
      <c r="K3844" s="125"/>
      <c r="L3844" s="121"/>
      <c r="M3844" s="126"/>
      <c r="N3844" s="127">
        <f t="shared" si="351"/>
        <v>0</v>
      </c>
    </row>
    <row r="3845" spans="1:14" x14ac:dyDescent="0.25">
      <c r="A3845" s="121" t="s">
        <v>105</v>
      </c>
      <c r="B3845" s="121" t="s">
        <v>109</v>
      </c>
      <c r="C3845" s="62">
        <f>VLOOKUP(B3845,合并仓明细!$D$2:$F$74,3,0)</f>
        <v>63</v>
      </c>
      <c r="D3845" s="122" t="s">
        <v>393</v>
      </c>
      <c r="E3845" s="123">
        <v>45982</v>
      </c>
      <c r="F3845" s="121" t="s">
        <v>66</v>
      </c>
      <c r="G3845" s="121">
        <v>952.03333310000005</v>
      </c>
      <c r="H3845" s="124"/>
      <c r="I3845" s="125"/>
      <c r="J3845" s="125"/>
      <c r="K3845" s="125"/>
      <c r="L3845" s="121"/>
      <c r="M3845" s="126"/>
      <c r="N3845" s="121"/>
    </row>
    <row r="3846" spans="1:14" x14ac:dyDescent="0.25">
      <c r="A3846" s="121" t="s">
        <v>105</v>
      </c>
      <c r="B3846" s="121" t="s">
        <v>109</v>
      </c>
      <c r="C3846" s="62">
        <f>VLOOKUP(B3846,合并仓明细!$D$2:$F$74,3,0)</f>
        <v>63</v>
      </c>
      <c r="D3846" s="122" t="s">
        <v>393</v>
      </c>
      <c r="E3846" s="123">
        <v>45987</v>
      </c>
      <c r="F3846" s="121" t="s">
        <v>68</v>
      </c>
      <c r="G3846" s="121">
        <v>1626.48</v>
      </c>
      <c r="H3846" s="124">
        <v>12.87374690865</v>
      </c>
      <c r="I3846" s="46">
        <f>ROUNDUP(H3846/30,0)*VLOOKUP(D3846,'报价表-配送'!$B$54:$I$58,8,0)</f>
        <v>0</v>
      </c>
      <c r="J3846" s="125"/>
      <c r="K3846" s="125"/>
      <c r="L3846" s="121"/>
      <c r="M3846" s="126"/>
      <c r="N3846" s="127">
        <f t="shared" ref="N3846" si="352">SUM(I3846:L3846)</f>
        <v>0</v>
      </c>
    </row>
    <row r="3847" spans="1:14" x14ac:dyDescent="0.25">
      <c r="A3847" s="121" t="s">
        <v>105</v>
      </c>
      <c r="B3847" s="121" t="s">
        <v>109</v>
      </c>
      <c r="C3847" s="62">
        <f>VLOOKUP(B3847,合并仓明细!$D$2:$F$74,3,0)</f>
        <v>63</v>
      </c>
      <c r="D3847" s="122" t="s">
        <v>393</v>
      </c>
      <c r="E3847" s="123">
        <v>45987</v>
      </c>
      <c r="F3847" s="121" t="s">
        <v>67</v>
      </c>
      <c r="G3847" s="121">
        <v>8161.2327420000001</v>
      </c>
      <c r="H3847" s="124"/>
      <c r="I3847" s="125"/>
      <c r="J3847" s="125"/>
      <c r="K3847" s="125"/>
      <c r="L3847" s="121"/>
      <c r="M3847" s="126"/>
      <c r="N3847" s="121"/>
    </row>
    <row r="3848" spans="1:14" x14ac:dyDescent="0.25">
      <c r="A3848" s="121" t="s">
        <v>105</v>
      </c>
      <c r="B3848" s="121" t="s">
        <v>109</v>
      </c>
      <c r="C3848" s="62">
        <f>VLOOKUP(B3848,合并仓明细!$D$2:$F$74,3,0)</f>
        <v>63</v>
      </c>
      <c r="D3848" s="122" t="s">
        <v>393</v>
      </c>
      <c r="E3848" s="123">
        <v>45987</v>
      </c>
      <c r="F3848" s="121" t="s">
        <v>66</v>
      </c>
      <c r="G3848" s="121">
        <v>3086.0341666500003</v>
      </c>
      <c r="H3848" s="124"/>
      <c r="I3848" s="125"/>
      <c r="J3848" s="125"/>
      <c r="K3848" s="125"/>
      <c r="L3848" s="121"/>
      <c r="M3848" s="126"/>
      <c r="N3848" s="121"/>
    </row>
    <row r="3849" spans="1:14" x14ac:dyDescent="0.25">
      <c r="A3849" s="121" t="s">
        <v>105</v>
      </c>
      <c r="B3849" s="121" t="s">
        <v>109</v>
      </c>
      <c r="C3849" s="62">
        <f>VLOOKUP(B3849,合并仓明细!$D$2:$F$74,3,0)</f>
        <v>63</v>
      </c>
      <c r="D3849" s="122" t="s">
        <v>393</v>
      </c>
      <c r="E3849" s="123">
        <v>45996</v>
      </c>
      <c r="F3849" s="121" t="s">
        <v>67</v>
      </c>
      <c r="G3849" s="121">
        <v>4068.9336959999996</v>
      </c>
      <c r="H3849" s="124">
        <v>5.8439551959000005</v>
      </c>
      <c r="I3849" s="38">
        <f>IF(H3849&gt;30,QUOTIENT(H3849,30)*VLOOKUP(D3849,'报价表-配送'!$B$54:$I$58,8,0),0)+IF(AND(MOD(H3849,30)&gt;18,MOD(H3849,30)&lt;=30),1,0)*VLOOKUP(D3849,'报价表-配送'!$B$54:$I$58,8,0)</f>
        <v>0</v>
      </c>
      <c r="J3849" s="38">
        <f>IF(AND(MOD(H3849,30)&gt;8,MOD(H3849,30)&lt;=18),1*VLOOKUP(D3849,'报价表-配送'!$B$54:$I$58,7,0),0)</f>
        <v>0</v>
      </c>
      <c r="K3849" s="38">
        <f>IF(AND(MOD(H3849,30)&lt;=8,MOD(H3849,30)&gt;0),1,0)*VLOOKUP(D3849,'报价表-配送'!$B$54:$I$58,6,0)</f>
        <v>0</v>
      </c>
      <c r="L3849" s="121"/>
      <c r="M3849" s="126"/>
      <c r="N3849" s="127">
        <f t="shared" ref="N3849" si="353">SUM(I3849:L3849)</f>
        <v>0</v>
      </c>
    </row>
    <row r="3850" spans="1:14" x14ac:dyDescent="0.25">
      <c r="A3850" s="121" t="s">
        <v>105</v>
      </c>
      <c r="B3850" s="121" t="s">
        <v>109</v>
      </c>
      <c r="C3850" s="62">
        <f>VLOOKUP(B3850,合并仓明细!$D$2:$F$74,3,0)</f>
        <v>63</v>
      </c>
      <c r="D3850" s="122" t="s">
        <v>393</v>
      </c>
      <c r="E3850" s="123">
        <v>45996</v>
      </c>
      <c r="F3850" s="121" t="s">
        <v>66</v>
      </c>
      <c r="G3850" s="121">
        <v>1775.0214999</v>
      </c>
      <c r="H3850" s="124"/>
      <c r="I3850" s="125"/>
      <c r="J3850" s="125"/>
      <c r="K3850" s="125"/>
      <c r="L3850" s="121"/>
      <c r="M3850" s="126"/>
      <c r="N3850" s="121"/>
    </row>
    <row r="3851" spans="1:14" x14ac:dyDescent="0.25">
      <c r="A3851" s="121" t="s">
        <v>105</v>
      </c>
      <c r="B3851" s="121" t="s">
        <v>109</v>
      </c>
      <c r="C3851" s="62">
        <f>VLOOKUP(B3851,合并仓明细!$D$2:$F$74,3,0)</f>
        <v>63</v>
      </c>
      <c r="D3851" s="122" t="s">
        <v>393</v>
      </c>
      <c r="E3851" s="123">
        <v>46001</v>
      </c>
      <c r="F3851" s="121" t="s">
        <v>67</v>
      </c>
      <c r="G3851" s="121">
        <v>3029.0508</v>
      </c>
      <c r="H3851" s="124">
        <v>6.9520466302000008</v>
      </c>
      <c r="I3851" s="38">
        <f>IF(H3851&gt;30,QUOTIENT(H3851,30)*VLOOKUP(D3851,'报价表-配送'!$B$54:$I$58,8,0),0)+IF(AND(MOD(H3851,30)&gt;18,MOD(H3851,30)&lt;=30),1,0)*VLOOKUP(D3851,'报价表-配送'!$B$54:$I$58,8,0)</f>
        <v>0</v>
      </c>
      <c r="J3851" s="38">
        <f>IF(AND(MOD(H3851,30)&gt;8,MOD(H3851,30)&lt;=18),1*VLOOKUP(D3851,'报价表-配送'!$B$54:$I$58,7,0),0)</f>
        <v>0</v>
      </c>
      <c r="K3851" s="38">
        <f>IF(AND(MOD(H3851,30)&lt;=8,MOD(H3851,30)&gt;0),1,0)*VLOOKUP(D3851,'报价表-配送'!$B$54:$I$58,6,0)</f>
        <v>0</v>
      </c>
      <c r="L3851" s="121"/>
      <c r="M3851" s="126"/>
      <c r="N3851" s="127">
        <f t="shared" ref="N3851" si="354">SUM(I3851:L3851)</f>
        <v>0</v>
      </c>
    </row>
    <row r="3852" spans="1:14" x14ac:dyDescent="0.25">
      <c r="A3852" s="121" t="s">
        <v>105</v>
      </c>
      <c r="B3852" s="121" t="s">
        <v>109</v>
      </c>
      <c r="C3852" s="62">
        <f>VLOOKUP(B3852,合并仓明细!$D$2:$F$74,3,0)</f>
        <v>63</v>
      </c>
      <c r="D3852" s="122" t="s">
        <v>393</v>
      </c>
      <c r="E3852" s="123">
        <v>46001</v>
      </c>
      <c r="F3852" s="121" t="s">
        <v>66</v>
      </c>
      <c r="G3852" s="121">
        <v>3922.9958302000005</v>
      </c>
      <c r="H3852" s="124"/>
      <c r="I3852" s="125"/>
      <c r="J3852" s="125"/>
      <c r="K3852" s="125"/>
      <c r="L3852" s="121"/>
      <c r="M3852" s="126"/>
      <c r="N3852" s="121"/>
    </row>
    <row r="3853" spans="1:14" x14ac:dyDescent="0.25">
      <c r="A3853" s="121" t="s">
        <v>105</v>
      </c>
      <c r="B3853" s="121" t="s">
        <v>109</v>
      </c>
      <c r="C3853" s="62">
        <f>VLOOKUP(B3853,合并仓明细!$D$2:$F$74,3,0)</f>
        <v>63</v>
      </c>
      <c r="D3853" s="122" t="s">
        <v>393</v>
      </c>
      <c r="E3853" s="123">
        <v>46007</v>
      </c>
      <c r="F3853" s="121" t="s">
        <v>68</v>
      </c>
      <c r="G3853" s="121">
        <v>3450.5628000000002</v>
      </c>
      <c r="H3853" s="124">
        <v>24.605888018000002</v>
      </c>
      <c r="I3853" s="46">
        <f>ROUNDUP(H3853/30,0)*VLOOKUP(D3853,'报价表-配送'!$B$54:$I$58,8,0)</f>
        <v>0</v>
      </c>
      <c r="J3853" s="125"/>
      <c r="K3853" s="125"/>
      <c r="L3853" s="121"/>
      <c r="M3853" s="126"/>
      <c r="N3853" s="127">
        <f t="shared" ref="N3853" si="355">SUM(I3853:L3853)</f>
        <v>0</v>
      </c>
    </row>
    <row r="3854" spans="1:14" x14ac:dyDescent="0.25">
      <c r="A3854" s="121" t="s">
        <v>105</v>
      </c>
      <c r="B3854" s="121" t="s">
        <v>109</v>
      </c>
      <c r="C3854" s="62">
        <f>VLOOKUP(B3854,合并仓明细!$D$2:$F$74,3,0)</f>
        <v>63</v>
      </c>
      <c r="D3854" s="122" t="s">
        <v>393</v>
      </c>
      <c r="E3854" s="123">
        <v>46007</v>
      </c>
      <c r="F3854" s="121" t="s">
        <v>67</v>
      </c>
      <c r="G3854" s="121">
        <v>17455.757718000001</v>
      </c>
      <c r="H3854" s="124"/>
      <c r="I3854" s="125"/>
      <c r="J3854" s="125"/>
      <c r="K3854" s="125"/>
      <c r="L3854" s="121"/>
      <c r="M3854" s="126"/>
      <c r="N3854" s="121"/>
    </row>
    <row r="3855" spans="1:14" x14ac:dyDescent="0.25">
      <c r="A3855" s="121" t="s">
        <v>105</v>
      </c>
      <c r="B3855" s="121" t="s">
        <v>109</v>
      </c>
      <c r="C3855" s="62">
        <f>VLOOKUP(B3855,合并仓明细!$D$2:$F$74,3,0)</f>
        <v>63</v>
      </c>
      <c r="D3855" s="122" t="s">
        <v>393</v>
      </c>
      <c r="E3855" s="123">
        <v>46007</v>
      </c>
      <c r="F3855" s="121" t="s">
        <v>66</v>
      </c>
      <c r="G3855" s="121">
        <v>3699.5675000000006</v>
      </c>
      <c r="H3855" s="124"/>
      <c r="I3855" s="125"/>
      <c r="J3855" s="125"/>
      <c r="K3855" s="125"/>
      <c r="L3855" s="121"/>
      <c r="M3855" s="126"/>
      <c r="N3855" s="121"/>
    </row>
    <row r="3856" spans="1:14" x14ac:dyDescent="0.25">
      <c r="A3856" s="121" t="s">
        <v>105</v>
      </c>
      <c r="B3856" s="121" t="s">
        <v>109</v>
      </c>
      <c r="C3856" s="62">
        <f>VLOOKUP(B3856,合并仓明细!$D$2:$F$74,3,0)</f>
        <v>63</v>
      </c>
      <c r="D3856" s="122" t="s">
        <v>393</v>
      </c>
      <c r="E3856" s="123">
        <v>46009</v>
      </c>
      <c r="F3856" s="121" t="s">
        <v>66</v>
      </c>
      <c r="G3856" s="121">
        <v>2238.5955334</v>
      </c>
      <c r="H3856" s="124">
        <v>2.2385955333999998</v>
      </c>
      <c r="I3856" s="125"/>
      <c r="J3856" s="125"/>
      <c r="K3856" s="125"/>
      <c r="L3856" s="37">
        <f>IF(H3856&gt;30,QUOTIENT(H3856,30)*VLOOKUP(D3856,'报价表-配送'!$B$54:$I$58,8,0),0)+IF(AND(MOD(H3856,30)&gt;18,MOD(H3856,30)&lt;=30),1,0)*VLOOKUP(D3856,'报价表-配送'!$B$54:$I$58,8,0)+IF(AND(MOD(H3856,30)&gt;8,MOD(H3856,30)&lt;=18),1*VLOOKUP(D3856,'报价表-配送'!$B$54:$I$58,7,0),0)+IF(AND(MOD(H3856,30)&lt;=8,MOD(H3856,30)&gt;2.5),1,0)*VLOOKUP(D3856,'报价表-配送'!$B$54:$I$58,6,0)+IF(AND(MOD(H3856,30)&lt;=2.5,MOD(H3856,30)&gt;=1.5),1,0)*VLOOKUP(D3856,'报价表-配送'!$B$54:$I$58,5,0)</f>
        <v>0</v>
      </c>
      <c r="M3856" s="39">
        <f>IF(AND(MOD(H3856,30)&lt;1.5,MOD(H3856,30)&gt;=0.5),H3856,0)*VLOOKUP(D3856,'报价表-配送'!$B$54:$I$58,4,0)*1000+IF(AND(MOD(H3856,30)&lt;0.5,MOD(H3856,30)&gt;=0.02),H3856,0)*VLOOKUP(D3856,'报价表-配送'!$B$54:$I$58,3,0)*1000+IF(AND(MOD(H3856,30)&lt;0.02),H3856,0)*VLOOKUP(D3856,'报价表-配送'!$B$54:$I$58,2,0)*1000</f>
        <v>0</v>
      </c>
      <c r="N3856" s="127">
        <f t="shared" ref="N3856:N3857" si="356">SUM(I3856:L3856)</f>
        <v>0</v>
      </c>
    </row>
    <row r="3857" spans="1:14" x14ac:dyDescent="0.25">
      <c r="A3857" s="121" t="s">
        <v>105</v>
      </c>
      <c r="B3857" s="121" t="s">
        <v>109</v>
      </c>
      <c r="C3857" s="62">
        <f>VLOOKUP(B3857,合并仓明细!$D$2:$F$74,3,0)</f>
        <v>63</v>
      </c>
      <c r="D3857" s="122" t="s">
        <v>393</v>
      </c>
      <c r="E3857" s="123">
        <v>46015</v>
      </c>
      <c r="F3857" s="121" t="s">
        <v>67</v>
      </c>
      <c r="G3857" s="121">
        <v>3890.8876159399997</v>
      </c>
      <c r="H3857" s="124">
        <v>4.47884844926</v>
      </c>
      <c r="I3857" s="38">
        <f>IF(H3857&gt;30,QUOTIENT(H3857,30)*VLOOKUP(D3857,'报价表-配送'!$B$54:$I$58,8,0),0)+IF(AND(MOD(H3857,30)&gt;18,MOD(H3857,30)&lt;=30),1,0)*VLOOKUP(D3857,'报价表-配送'!$B$54:$I$58,8,0)</f>
        <v>0</v>
      </c>
      <c r="J3857" s="38">
        <f>IF(AND(MOD(H3857,30)&gt;8,MOD(H3857,30)&lt;=18),1*VLOOKUP(D3857,'报价表-配送'!$B$54:$I$58,7,0),0)</f>
        <v>0</v>
      </c>
      <c r="K3857" s="38">
        <f>IF(AND(MOD(H3857,30)&lt;=8,MOD(H3857,30)&gt;0),1,0)*VLOOKUP(D3857,'报价表-配送'!$B$54:$I$58,6,0)</f>
        <v>0</v>
      </c>
      <c r="L3857" s="121"/>
      <c r="M3857" s="126"/>
      <c r="N3857" s="127">
        <f t="shared" si="356"/>
        <v>0</v>
      </c>
    </row>
    <row r="3858" spans="1:14" x14ac:dyDescent="0.25">
      <c r="A3858" s="121" t="s">
        <v>105</v>
      </c>
      <c r="B3858" s="121" t="s">
        <v>109</v>
      </c>
      <c r="C3858" s="62">
        <f>VLOOKUP(B3858,合并仓明细!$D$2:$F$74,3,0)</f>
        <v>63</v>
      </c>
      <c r="D3858" s="122" t="s">
        <v>393</v>
      </c>
      <c r="E3858" s="123">
        <v>46015</v>
      </c>
      <c r="F3858" s="121" t="s">
        <v>66</v>
      </c>
      <c r="G3858" s="121">
        <v>587.96083331999989</v>
      </c>
      <c r="H3858" s="124"/>
      <c r="I3858" s="125"/>
      <c r="J3858" s="125"/>
      <c r="K3858" s="125"/>
      <c r="L3858" s="121"/>
      <c r="M3858" s="126"/>
      <c r="N3858" s="121"/>
    </row>
    <row r="3859" spans="1:14" x14ac:dyDescent="0.25">
      <c r="A3859" s="121" t="s">
        <v>105</v>
      </c>
      <c r="B3859" s="121" t="s">
        <v>109</v>
      </c>
      <c r="C3859" s="62">
        <f>VLOOKUP(B3859,合并仓明细!$D$2:$F$74,3,0)</f>
        <v>63</v>
      </c>
      <c r="D3859" s="122" t="s">
        <v>393</v>
      </c>
      <c r="E3859" s="123">
        <v>46017</v>
      </c>
      <c r="F3859" s="121" t="s">
        <v>67</v>
      </c>
      <c r="G3859" s="121">
        <v>3051.7002719999996</v>
      </c>
      <c r="H3859" s="124">
        <v>3.2650602719999999</v>
      </c>
      <c r="I3859" s="38">
        <f>IF(H3859&gt;30,QUOTIENT(H3859,30)*VLOOKUP(D3859,'报价表-配送'!$B$54:$I$58,8,0),0)+IF(AND(MOD(H3859,30)&gt;18,MOD(H3859,30)&lt;=30),1,0)*VLOOKUP(D3859,'报价表-配送'!$B$54:$I$58,8,0)</f>
        <v>0</v>
      </c>
      <c r="J3859" s="38">
        <f>IF(AND(MOD(H3859,30)&gt;8,MOD(H3859,30)&lt;=18),1*VLOOKUP(D3859,'报价表-配送'!$B$54:$I$58,7,0),0)</f>
        <v>0</v>
      </c>
      <c r="K3859" s="38">
        <f>IF(AND(MOD(H3859,30)&lt;=8,MOD(H3859,30)&gt;0),1,0)*VLOOKUP(D3859,'报价表-配送'!$B$54:$I$58,6,0)</f>
        <v>0</v>
      </c>
      <c r="L3859" s="121"/>
      <c r="M3859" s="126"/>
      <c r="N3859" s="127">
        <f t="shared" ref="N3859" si="357">SUM(I3859:L3859)</f>
        <v>0</v>
      </c>
    </row>
    <row r="3860" spans="1:14" x14ac:dyDescent="0.25">
      <c r="A3860" s="121" t="s">
        <v>105</v>
      </c>
      <c r="B3860" s="121" t="s">
        <v>109</v>
      </c>
      <c r="C3860" s="62">
        <f>VLOOKUP(B3860,合并仓明细!$D$2:$F$74,3,0)</f>
        <v>63</v>
      </c>
      <c r="D3860" s="122" t="s">
        <v>393</v>
      </c>
      <c r="E3860" s="123">
        <v>46017</v>
      </c>
      <c r="F3860" s="121" t="s">
        <v>66</v>
      </c>
      <c r="G3860" s="121">
        <v>213.35999999999999</v>
      </c>
      <c r="H3860" s="124"/>
      <c r="I3860" s="125"/>
      <c r="J3860" s="125"/>
      <c r="K3860" s="125"/>
      <c r="L3860" s="121"/>
      <c r="M3860" s="126"/>
      <c r="N3860" s="121"/>
    </row>
    <row r="3861" spans="1:14" x14ac:dyDescent="0.25">
      <c r="A3861" s="121" t="s">
        <v>105</v>
      </c>
      <c r="B3861" s="121" t="s">
        <v>109</v>
      </c>
      <c r="C3861" s="62">
        <f>VLOOKUP(B3861,合并仓明细!$D$2:$F$74,3,0)</f>
        <v>63</v>
      </c>
      <c r="D3861" s="122" t="s">
        <v>393</v>
      </c>
      <c r="E3861" s="123">
        <v>46028</v>
      </c>
      <c r="F3861" s="121" t="s">
        <v>67</v>
      </c>
      <c r="G3861" s="121">
        <v>9186.4758780000011</v>
      </c>
      <c r="H3861" s="124">
        <v>11.341521711110001</v>
      </c>
      <c r="I3861" s="38">
        <f>IF(H3861&gt;30,QUOTIENT(H3861,30)*VLOOKUP(D3861,'报价表-配送'!$B$54:$I$58,8,0),0)+IF(AND(MOD(H3861,30)&gt;18,MOD(H3861,30)&lt;=30),1,0)*VLOOKUP(D3861,'报价表-配送'!$B$54:$I$58,8,0)</f>
        <v>0</v>
      </c>
      <c r="J3861" s="38">
        <f>IF(AND(MOD(H3861,30)&gt;8,MOD(H3861,30)&lt;=18),1*VLOOKUP(D3861,'报价表-配送'!$B$54:$I$58,7,0),0)</f>
        <v>0</v>
      </c>
      <c r="K3861" s="38">
        <f>IF(AND(MOD(H3861,30)&lt;=8,MOD(H3861,30)&gt;0),1,0)*VLOOKUP(D3861,'报价表-配送'!$B$54:$I$58,6,0)</f>
        <v>0</v>
      </c>
      <c r="L3861" s="121"/>
      <c r="M3861" s="126"/>
      <c r="N3861" s="127">
        <f t="shared" ref="N3861" si="358">SUM(I3861:L3861)</f>
        <v>0</v>
      </c>
    </row>
    <row r="3862" spans="1:14" x14ac:dyDescent="0.25">
      <c r="A3862" s="121" t="s">
        <v>105</v>
      </c>
      <c r="B3862" s="121" t="s">
        <v>109</v>
      </c>
      <c r="C3862" s="62">
        <f>VLOOKUP(B3862,合并仓明细!$D$2:$F$74,3,0)</f>
        <v>63</v>
      </c>
      <c r="D3862" s="122" t="s">
        <v>393</v>
      </c>
      <c r="E3862" s="123">
        <v>46028</v>
      </c>
      <c r="F3862" s="121" t="s">
        <v>66</v>
      </c>
      <c r="G3862" s="121">
        <v>2155.0458331099994</v>
      </c>
      <c r="H3862" s="124"/>
      <c r="I3862" s="125"/>
      <c r="J3862" s="125"/>
      <c r="K3862" s="125"/>
      <c r="L3862" s="121"/>
      <c r="M3862" s="126"/>
      <c r="N3862" s="121"/>
    </row>
    <row r="3863" spans="1:14" x14ac:dyDescent="0.25">
      <c r="A3863" s="121" t="s">
        <v>105</v>
      </c>
      <c r="B3863" s="121" t="s">
        <v>109</v>
      </c>
      <c r="C3863" s="62">
        <f>VLOOKUP(B3863,合并仓明细!$D$2:$F$74,3,0)</f>
        <v>63</v>
      </c>
      <c r="D3863" s="122" t="s">
        <v>393</v>
      </c>
      <c r="E3863" s="123">
        <v>46036</v>
      </c>
      <c r="F3863" s="121" t="s">
        <v>68</v>
      </c>
      <c r="G3863" s="121">
        <v>1903.14</v>
      </c>
      <c r="H3863" s="124">
        <v>9.006860080340001</v>
      </c>
      <c r="I3863" s="46">
        <f>ROUNDUP(H3863/30,0)*VLOOKUP(D3863,'报价表-配送'!$B$54:$I$58,8,0)</f>
        <v>0</v>
      </c>
      <c r="J3863" s="125"/>
      <c r="K3863" s="125"/>
      <c r="L3863" s="121"/>
      <c r="M3863" s="126"/>
      <c r="N3863" s="127">
        <f t="shared" ref="N3863" si="359">SUM(I3863:L3863)</f>
        <v>0</v>
      </c>
    </row>
    <row r="3864" spans="1:14" x14ac:dyDescent="0.25">
      <c r="A3864" s="121" t="s">
        <v>105</v>
      </c>
      <c r="B3864" s="121" t="s">
        <v>109</v>
      </c>
      <c r="C3864" s="62">
        <f>VLOOKUP(B3864,合并仓明细!$D$2:$F$74,3,0)</f>
        <v>63</v>
      </c>
      <c r="D3864" s="122" t="s">
        <v>393</v>
      </c>
      <c r="E3864" s="123">
        <v>46036</v>
      </c>
      <c r="F3864" s="121" t="s">
        <v>67</v>
      </c>
      <c r="G3864" s="121">
        <v>5108.4267479999999</v>
      </c>
      <c r="H3864" s="124"/>
      <c r="I3864" s="125"/>
      <c r="J3864" s="125"/>
      <c r="K3864" s="125"/>
      <c r="L3864" s="121"/>
      <c r="M3864" s="126"/>
      <c r="N3864" s="121"/>
    </row>
    <row r="3865" spans="1:14" x14ac:dyDescent="0.25">
      <c r="A3865" s="121" t="s">
        <v>105</v>
      </c>
      <c r="B3865" s="121" t="s">
        <v>109</v>
      </c>
      <c r="C3865" s="62">
        <f>VLOOKUP(B3865,合并仓明细!$D$2:$F$74,3,0)</f>
        <v>63</v>
      </c>
      <c r="D3865" s="122" t="s">
        <v>393</v>
      </c>
      <c r="E3865" s="123">
        <v>46036</v>
      </c>
      <c r="F3865" s="121" t="s">
        <v>66</v>
      </c>
      <c r="G3865" s="121">
        <v>1995.29333234</v>
      </c>
      <c r="H3865" s="124"/>
      <c r="I3865" s="125"/>
      <c r="J3865" s="125"/>
      <c r="K3865" s="125"/>
      <c r="L3865" s="121"/>
      <c r="M3865" s="126"/>
      <c r="N3865" s="121"/>
    </row>
    <row r="3866" spans="1:14" x14ac:dyDescent="0.25">
      <c r="A3866" s="121" t="s">
        <v>105</v>
      </c>
      <c r="B3866" s="121" t="s">
        <v>109</v>
      </c>
      <c r="C3866" s="62">
        <f>VLOOKUP(B3866,合并仓明细!$D$2:$F$74,3,0)</f>
        <v>63</v>
      </c>
      <c r="D3866" s="122" t="s">
        <v>393</v>
      </c>
      <c r="E3866" s="123">
        <v>46049</v>
      </c>
      <c r="F3866" s="121" t="s">
        <v>67</v>
      </c>
      <c r="G3866" s="121">
        <v>8414.2554540000001</v>
      </c>
      <c r="H3866" s="124">
        <v>10.055616284800001</v>
      </c>
      <c r="I3866" s="38">
        <f>IF(H3866&gt;30,QUOTIENT(H3866,30)*VLOOKUP(D3866,'报价表-配送'!$B$54:$I$58,8,0),0)+IF(AND(MOD(H3866,30)&gt;18,MOD(H3866,30)&lt;=30),1,0)*VLOOKUP(D3866,'报价表-配送'!$B$54:$I$58,8,0)</f>
        <v>0</v>
      </c>
      <c r="J3866" s="38">
        <f>IF(AND(MOD(H3866,30)&gt;8,MOD(H3866,30)&lt;=18),1*VLOOKUP(D3866,'报价表-配送'!$B$54:$I$58,7,0),0)</f>
        <v>0</v>
      </c>
      <c r="K3866" s="38">
        <f>IF(AND(MOD(H3866,30)&lt;=8,MOD(H3866,30)&gt;0),1,0)*VLOOKUP(D3866,'报价表-配送'!$B$54:$I$58,6,0)</f>
        <v>0</v>
      </c>
      <c r="L3866" s="121"/>
      <c r="M3866" s="126"/>
      <c r="N3866" s="127">
        <f t="shared" ref="N3866" si="360">SUM(I3866:L3866)</f>
        <v>0</v>
      </c>
    </row>
    <row r="3867" spans="1:14" x14ac:dyDescent="0.25">
      <c r="A3867" s="121" t="s">
        <v>105</v>
      </c>
      <c r="B3867" s="121" t="s">
        <v>109</v>
      </c>
      <c r="C3867" s="62">
        <f>VLOOKUP(B3867,合并仓明细!$D$2:$F$74,3,0)</f>
        <v>63</v>
      </c>
      <c r="D3867" s="122" t="s">
        <v>393</v>
      </c>
      <c r="E3867" s="123">
        <v>46049</v>
      </c>
      <c r="F3867" s="121" t="s">
        <v>66</v>
      </c>
      <c r="G3867" s="121">
        <v>1641.3608307999998</v>
      </c>
      <c r="H3867" s="124"/>
      <c r="I3867" s="125"/>
      <c r="J3867" s="125"/>
      <c r="K3867" s="125"/>
      <c r="L3867" s="121"/>
      <c r="M3867" s="126"/>
      <c r="N3867" s="121"/>
    </row>
    <row r="3868" spans="1:14" x14ac:dyDescent="0.25">
      <c r="A3868" s="121" t="s">
        <v>105</v>
      </c>
      <c r="B3868" s="121" t="s">
        <v>109</v>
      </c>
      <c r="C3868" s="62">
        <f>VLOOKUP(B3868,合并仓明细!$D$2:$F$74,3,0)</f>
        <v>63</v>
      </c>
      <c r="D3868" s="122" t="s">
        <v>393</v>
      </c>
      <c r="E3868" s="123">
        <v>46057</v>
      </c>
      <c r="F3868" s="121" t="s">
        <v>66</v>
      </c>
      <c r="G3868" s="121">
        <v>450.10749999999996</v>
      </c>
      <c r="H3868" s="124">
        <v>0.45010749999999994</v>
      </c>
      <c r="I3868" s="125"/>
      <c r="J3868" s="125"/>
      <c r="K3868" s="125"/>
      <c r="L3868" s="37">
        <f>IF(H3868&gt;30,QUOTIENT(H3868,30)*VLOOKUP(D3868,'报价表-配送'!$B$54:$I$58,8,0),0)+IF(AND(MOD(H3868,30)&gt;18,MOD(H3868,30)&lt;=30),1,0)*VLOOKUP(D3868,'报价表-配送'!$B$54:$I$58,8,0)+IF(AND(MOD(H3868,30)&gt;8,MOD(H3868,30)&lt;=18),1*VLOOKUP(D3868,'报价表-配送'!$B$54:$I$58,7,0),0)+IF(AND(MOD(H3868,30)&lt;=8,MOD(H3868,30)&gt;2.5),1,0)*VLOOKUP(D3868,'报价表-配送'!$B$54:$I$58,6,0)+IF(AND(MOD(H3868,30)&lt;=2.5,MOD(H3868,30)&gt;=1.5),1,0)*VLOOKUP(D3868,'报价表-配送'!$B$54:$I$58,5,0)</f>
        <v>0</v>
      </c>
      <c r="M3868" s="39">
        <f>IF(AND(MOD(H3868,30)&lt;1.5,MOD(H3868,30)&gt;=0.5),H3868,0)*VLOOKUP(D3868,'报价表-配送'!$B$54:$I$58,4,0)*1000+IF(AND(MOD(H3868,30)&lt;0.5,MOD(H3868,30)&gt;=0.02),H3868,0)*VLOOKUP(D3868,'报价表-配送'!$B$54:$I$58,3,0)*1000+IF(AND(MOD(H3868,30)&lt;0.02),H3868,0)*VLOOKUP(D3868,'报价表-配送'!$B$54:$I$58,2,0)*1000</f>
        <v>0</v>
      </c>
      <c r="N3868" s="127">
        <f t="shared" ref="N3868:N3869" si="361">SUM(I3868:L3868)</f>
        <v>0</v>
      </c>
    </row>
    <row r="3869" spans="1:14" x14ac:dyDescent="0.25">
      <c r="A3869" s="121" t="s">
        <v>105</v>
      </c>
      <c r="B3869" s="121" t="s">
        <v>109</v>
      </c>
      <c r="C3869" s="62">
        <f>VLOOKUP(B3869,合并仓明细!$D$2:$F$74,3,0)</f>
        <v>63</v>
      </c>
      <c r="D3869" s="122" t="s">
        <v>393</v>
      </c>
      <c r="E3869" s="123">
        <v>46059</v>
      </c>
      <c r="F3869" s="121" t="s">
        <v>68</v>
      </c>
      <c r="G3869" s="121">
        <v>140.48627999999999</v>
      </c>
      <c r="H3869" s="124">
        <v>0.34381128</v>
      </c>
      <c r="I3869" s="46">
        <f>ROUNDUP(H3869/30,0)*VLOOKUP(D3869,'报价表-配送'!$B$54:$I$58,8,0)</f>
        <v>0</v>
      </c>
      <c r="J3869" s="125"/>
      <c r="K3869" s="125"/>
      <c r="L3869" s="121"/>
      <c r="M3869" s="126"/>
      <c r="N3869" s="127">
        <f t="shared" si="361"/>
        <v>0</v>
      </c>
    </row>
    <row r="3870" spans="1:14" x14ac:dyDescent="0.25">
      <c r="A3870" s="121" t="s">
        <v>105</v>
      </c>
      <c r="B3870" s="121" t="s">
        <v>109</v>
      </c>
      <c r="C3870" s="62">
        <f>VLOOKUP(B3870,合并仓明细!$D$2:$F$74,3,0)</f>
        <v>63</v>
      </c>
      <c r="D3870" s="122" t="s">
        <v>393</v>
      </c>
      <c r="E3870" s="123">
        <v>46059</v>
      </c>
      <c r="F3870" s="121" t="s">
        <v>66</v>
      </c>
      <c r="G3870" s="121">
        <v>203.32500000000005</v>
      </c>
      <c r="H3870" s="124"/>
      <c r="I3870" s="125"/>
      <c r="J3870" s="125"/>
      <c r="K3870" s="125"/>
      <c r="L3870" s="121"/>
      <c r="M3870" s="126"/>
      <c r="N3870" s="121"/>
    </row>
    <row r="3871" spans="1:14" x14ac:dyDescent="0.25">
      <c r="A3871" s="121" t="s">
        <v>105</v>
      </c>
      <c r="B3871" s="121" t="s">
        <v>109</v>
      </c>
      <c r="C3871" s="62">
        <f>VLOOKUP(B3871,合并仓明细!$D$2:$F$74,3,0)</f>
        <v>63</v>
      </c>
      <c r="D3871" s="122" t="s">
        <v>393</v>
      </c>
      <c r="E3871" s="123">
        <v>46083</v>
      </c>
      <c r="F3871" s="121" t="s">
        <v>66</v>
      </c>
      <c r="G3871" s="121">
        <v>149.19833319</v>
      </c>
      <c r="H3871" s="124">
        <v>0.14919833319</v>
      </c>
      <c r="I3871" s="125"/>
      <c r="J3871" s="125"/>
      <c r="K3871" s="125"/>
      <c r="L3871" s="37">
        <f>IF(H3871&gt;30,QUOTIENT(H3871,30)*VLOOKUP(D3871,'报价表-配送'!$B$54:$I$58,8,0),0)+IF(AND(MOD(H3871,30)&gt;18,MOD(H3871,30)&lt;=30),1,0)*VLOOKUP(D3871,'报价表-配送'!$B$54:$I$58,8,0)+IF(AND(MOD(H3871,30)&gt;8,MOD(H3871,30)&lt;=18),1*VLOOKUP(D3871,'报价表-配送'!$B$54:$I$58,7,0),0)+IF(AND(MOD(H3871,30)&lt;=8,MOD(H3871,30)&gt;2.5),1,0)*VLOOKUP(D3871,'报价表-配送'!$B$54:$I$58,6,0)+IF(AND(MOD(H3871,30)&lt;=2.5,MOD(H3871,30)&gt;=1.5),1,0)*VLOOKUP(D3871,'报价表-配送'!$B$54:$I$58,5,0)</f>
        <v>0</v>
      </c>
      <c r="M3871" s="39">
        <f>IF(AND(MOD(H3871,30)&lt;1.5,MOD(H3871,30)&gt;=0.5),H3871,0)*VLOOKUP(D3871,'报价表-配送'!$B$54:$I$58,4,0)*1000+IF(AND(MOD(H3871,30)&lt;0.5,MOD(H3871,30)&gt;=0.02),H3871,0)*VLOOKUP(D3871,'报价表-配送'!$B$54:$I$58,3,0)*1000+IF(AND(MOD(H3871,30)&lt;0.02),H3871,0)*VLOOKUP(D3871,'报价表-配送'!$B$54:$I$58,2,0)*1000</f>
        <v>0</v>
      </c>
      <c r="N3871" s="127">
        <f t="shared" ref="N3871:N3872" si="362">SUM(I3871:L3871)</f>
        <v>0</v>
      </c>
    </row>
    <row r="3872" spans="1:14" x14ac:dyDescent="0.25">
      <c r="A3872" s="121" t="s">
        <v>105</v>
      </c>
      <c r="B3872" s="121" t="s">
        <v>109</v>
      </c>
      <c r="C3872" s="62">
        <f>VLOOKUP(B3872,合并仓明细!$D$2:$F$74,3,0)</f>
        <v>63</v>
      </c>
      <c r="D3872" s="122" t="s">
        <v>393</v>
      </c>
      <c r="E3872" s="123">
        <v>46085</v>
      </c>
      <c r="F3872" s="121" t="s">
        <v>68</v>
      </c>
      <c r="G3872" s="121">
        <v>494.96</v>
      </c>
      <c r="H3872" s="124">
        <v>14.750533433339999</v>
      </c>
      <c r="I3872" s="46">
        <f>ROUNDUP(H3872/30,0)*VLOOKUP(D3872,'报价表-配送'!$B$54:$I$58,8,0)</f>
        <v>0</v>
      </c>
      <c r="J3872" s="125"/>
      <c r="K3872" s="125"/>
      <c r="L3872" s="121"/>
      <c r="M3872" s="126"/>
      <c r="N3872" s="127">
        <f t="shared" si="362"/>
        <v>0</v>
      </c>
    </row>
    <row r="3873" spans="1:14" x14ac:dyDescent="0.25">
      <c r="A3873" s="121" t="s">
        <v>105</v>
      </c>
      <c r="B3873" s="121" t="s">
        <v>109</v>
      </c>
      <c r="C3873" s="62">
        <f>VLOOKUP(B3873,合并仓明细!$D$2:$F$74,3,0)</f>
        <v>63</v>
      </c>
      <c r="D3873" s="122" t="s">
        <v>393</v>
      </c>
      <c r="E3873" s="123">
        <v>46085</v>
      </c>
      <c r="F3873" s="121" t="s">
        <v>67</v>
      </c>
      <c r="G3873" s="121">
        <v>13917.4926</v>
      </c>
      <c r="H3873" s="124"/>
      <c r="I3873" s="125"/>
      <c r="J3873" s="125"/>
      <c r="K3873" s="125"/>
      <c r="L3873" s="121"/>
      <c r="M3873" s="126"/>
      <c r="N3873" s="121"/>
    </row>
    <row r="3874" spans="1:14" x14ac:dyDescent="0.25">
      <c r="A3874" s="121" t="s">
        <v>105</v>
      </c>
      <c r="B3874" s="121" t="s">
        <v>109</v>
      </c>
      <c r="C3874" s="62">
        <f>VLOOKUP(B3874,合并仓明细!$D$2:$F$74,3,0)</f>
        <v>63</v>
      </c>
      <c r="D3874" s="122" t="s">
        <v>393</v>
      </c>
      <c r="E3874" s="123">
        <v>46085</v>
      </c>
      <c r="F3874" s="121" t="s">
        <v>66</v>
      </c>
      <c r="G3874" s="121">
        <v>338.08083333999997</v>
      </c>
      <c r="H3874" s="124"/>
      <c r="I3874" s="125"/>
      <c r="J3874" s="125"/>
      <c r="K3874" s="125"/>
      <c r="L3874" s="121"/>
      <c r="M3874" s="126"/>
      <c r="N3874" s="121"/>
    </row>
    <row r="3875" spans="1:14" x14ac:dyDescent="0.25">
      <c r="A3875" s="121" t="s">
        <v>105</v>
      </c>
      <c r="B3875" s="121" t="s">
        <v>109</v>
      </c>
      <c r="C3875" s="62">
        <f>VLOOKUP(B3875,合并仓明细!$D$2:$F$74,3,0)</f>
        <v>63</v>
      </c>
      <c r="D3875" s="122" t="s">
        <v>393</v>
      </c>
      <c r="E3875" s="123">
        <v>46086</v>
      </c>
      <c r="F3875" s="121" t="s">
        <v>68</v>
      </c>
      <c r="G3875" s="121">
        <v>21.52</v>
      </c>
      <c r="H3875" s="124">
        <v>0.16493000000000005</v>
      </c>
      <c r="I3875" s="46">
        <f>ROUNDUP(H3875/30,0)*VLOOKUP(D3875,'报价表-配送'!$B$54:$I$58,8,0)</f>
        <v>0</v>
      </c>
      <c r="J3875" s="125"/>
      <c r="K3875" s="125"/>
      <c r="L3875" s="121"/>
      <c r="M3875" s="126"/>
      <c r="N3875" s="127">
        <f t="shared" ref="N3875" si="363">SUM(I3875:L3875)</f>
        <v>0</v>
      </c>
    </row>
    <row r="3876" spans="1:14" x14ac:dyDescent="0.25">
      <c r="A3876" s="121" t="s">
        <v>105</v>
      </c>
      <c r="B3876" s="121" t="s">
        <v>109</v>
      </c>
      <c r="C3876" s="62">
        <f>VLOOKUP(B3876,合并仓明细!$D$2:$F$74,3,0)</f>
        <v>63</v>
      </c>
      <c r="D3876" s="122" t="s">
        <v>393</v>
      </c>
      <c r="E3876" s="123">
        <v>46086</v>
      </c>
      <c r="F3876" s="121" t="s">
        <v>66</v>
      </c>
      <c r="G3876" s="121">
        <v>143.41000000000003</v>
      </c>
      <c r="H3876" s="124"/>
      <c r="I3876" s="125"/>
      <c r="J3876" s="125"/>
      <c r="K3876" s="125"/>
      <c r="L3876" s="121"/>
      <c r="M3876" s="126"/>
      <c r="N3876" s="121"/>
    </row>
    <row r="3877" spans="1:14" x14ac:dyDescent="0.25">
      <c r="A3877" s="121" t="s">
        <v>105</v>
      </c>
      <c r="B3877" s="121" t="s">
        <v>109</v>
      </c>
      <c r="C3877" s="62">
        <f>VLOOKUP(B3877,合并仓明细!$D$2:$F$74,3,0)</f>
        <v>63</v>
      </c>
      <c r="D3877" s="122" t="s">
        <v>393</v>
      </c>
      <c r="E3877" s="123">
        <v>46087</v>
      </c>
      <c r="F3877" s="121" t="s">
        <v>68</v>
      </c>
      <c r="G3877" s="121">
        <v>209.748096</v>
      </c>
      <c r="H3877" s="124">
        <v>0.22854809600000001</v>
      </c>
      <c r="I3877" s="46">
        <f>ROUNDUP(H3877/30,0)*VLOOKUP(D3877,'报价表-配送'!$B$54:$I$58,8,0)</f>
        <v>0</v>
      </c>
      <c r="J3877" s="125"/>
      <c r="K3877" s="125"/>
      <c r="L3877" s="121"/>
      <c r="M3877" s="126"/>
      <c r="N3877" s="127">
        <f t="shared" ref="N3877" si="364">SUM(I3877:L3877)</f>
        <v>0</v>
      </c>
    </row>
    <row r="3878" spans="1:14" x14ac:dyDescent="0.25">
      <c r="A3878" s="121" t="s">
        <v>105</v>
      </c>
      <c r="B3878" s="121" t="s">
        <v>109</v>
      </c>
      <c r="C3878" s="62">
        <f>VLOOKUP(B3878,合并仓明细!$D$2:$F$74,3,0)</f>
        <v>63</v>
      </c>
      <c r="D3878" s="122" t="s">
        <v>393</v>
      </c>
      <c r="E3878" s="123">
        <v>46087</v>
      </c>
      <c r="F3878" s="121" t="s">
        <v>66</v>
      </c>
      <c r="G3878" s="121">
        <v>18.8</v>
      </c>
      <c r="H3878" s="124"/>
      <c r="I3878" s="125"/>
      <c r="J3878" s="125"/>
      <c r="K3878" s="125"/>
      <c r="L3878" s="121"/>
      <c r="M3878" s="126"/>
      <c r="N3878" s="121"/>
    </row>
    <row r="3879" spans="1:14" x14ac:dyDescent="0.25">
      <c r="A3879" s="121" t="s">
        <v>105</v>
      </c>
      <c r="B3879" s="121" t="s">
        <v>109</v>
      </c>
      <c r="C3879" s="62">
        <f>VLOOKUP(B3879,合并仓明细!$D$2:$F$74,3,0)</f>
        <v>63</v>
      </c>
      <c r="D3879" s="122" t="s">
        <v>393</v>
      </c>
      <c r="E3879" s="123">
        <v>46090</v>
      </c>
      <c r="F3879" s="121" t="s">
        <v>67</v>
      </c>
      <c r="G3879" s="121">
        <v>2.8676499999999998</v>
      </c>
      <c r="H3879" s="124">
        <v>3.2357650000000002E-2</v>
      </c>
      <c r="I3879" s="38">
        <f>IF(H3879&gt;30,QUOTIENT(H3879,30)*VLOOKUP(D3879,'报价表-配送'!$B$54:$I$58,8,0),0)+IF(AND(MOD(H3879,30)&gt;18,MOD(H3879,30)&lt;=30),1,0)*VLOOKUP(D3879,'报价表-配送'!$B$54:$I$58,8,0)</f>
        <v>0</v>
      </c>
      <c r="J3879" s="38">
        <f>IF(AND(MOD(H3879,30)&gt;8,MOD(H3879,30)&lt;=18),1*VLOOKUP(D3879,'报价表-配送'!$B$54:$I$58,7,0),0)</f>
        <v>0</v>
      </c>
      <c r="K3879" s="38">
        <f>IF(AND(MOD(H3879,30)&lt;=8,MOD(H3879,30)&gt;0),1,0)*VLOOKUP(D3879,'报价表-配送'!$B$54:$I$58,6,0)</f>
        <v>0</v>
      </c>
      <c r="L3879" s="121"/>
      <c r="M3879" s="126"/>
      <c r="N3879" s="127">
        <f t="shared" ref="N3879" si="365">SUM(I3879:L3879)</f>
        <v>0</v>
      </c>
    </row>
    <row r="3880" spans="1:14" x14ac:dyDescent="0.25">
      <c r="A3880" s="121" t="s">
        <v>105</v>
      </c>
      <c r="B3880" s="121" t="s">
        <v>109</v>
      </c>
      <c r="C3880" s="62">
        <f>VLOOKUP(B3880,合并仓明细!$D$2:$F$74,3,0)</f>
        <v>63</v>
      </c>
      <c r="D3880" s="122" t="s">
        <v>393</v>
      </c>
      <c r="E3880" s="123">
        <v>46090</v>
      </c>
      <c r="F3880" s="121" t="s">
        <v>66</v>
      </c>
      <c r="G3880" s="121">
        <v>29.49</v>
      </c>
      <c r="H3880" s="124"/>
      <c r="I3880" s="125"/>
      <c r="J3880" s="125"/>
      <c r="K3880" s="125"/>
      <c r="L3880" s="121"/>
      <c r="M3880" s="126"/>
      <c r="N3880" s="121"/>
    </row>
    <row r="3881" spans="1:14" x14ac:dyDescent="0.25">
      <c r="A3881" s="121" t="s">
        <v>105</v>
      </c>
      <c r="B3881" s="121" t="s">
        <v>109</v>
      </c>
      <c r="C3881" s="62">
        <f>VLOOKUP(B3881,合并仓明细!$D$2:$F$74,3,0)</f>
        <v>63</v>
      </c>
      <c r="D3881" s="122" t="s">
        <v>393</v>
      </c>
      <c r="E3881" s="123">
        <v>46091</v>
      </c>
      <c r="F3881" s="121" t="s">
        <v>66</v>
      </c>
      <c r="G3881" s="121">
        <v>15.973333329999999</v>
      </c>
      <c r="H3881" s="124">
        <v>1.5973333329999999E-2</v>
      </c>
      <c r="I3881" s="125"/>
      <c r="J3881" s="125"/>
      <c r="K3881" s="125"/>
      <c r="L3881" s="37">
        <f>IF(H3881&gt;30,QUOTIENT(H3881,30)*VLOOKUP(D3881,'报价表-配送'!$B$54:$I$58,8,0),0)+IF(AND(MOD(H3881,30)&gt;18,MOD(H3881,30)&lt;=30),1,0)*VLOOKUP(D3881,'报价表-配送'!$B$54:$I$58,8,0)+IF(AND(MOD(H3881,30)&gt;8,MOD(H3881,30)&lt;=18),1*VLOOKUP(D3881,'报价表-配送'!$B$54:$I$58,7,0),0)+IF(AND(MOD(H3881,30)&lt;=8,MOD(H3881,30)&gt;2.5),1,0)*VLOOKUP(D3881,'报价表-配送'!$B$54:$I$58,6,0)+IF(AND(MOD(H3881,30)&lt;=2.5,MOD(H3881,30)&gt;=1.5),1,0)*VLOOKUP(D3881,'报价表-配送'!$B$54:$I$58,5,0)</f>
        <v>0</v>
      </c>
      <c r="M3881" s="39">
        <f>IF(AND(MOD(H3881,30)&lt;1.5,MOD(H3881,30)&gt;=0.5),H3881,0)*VLOOKUP(D3881,'报价表-配送'!$B$54:$I$58,4,0)*1000+IF(AND(MOD(H3881,30)&lt;0.5,MOD(H3881,30)&gt;=0.02),H3881,0)*VLOOKUP(D3881,'报价表-配送'!$B$54:$I$58,3,0)*1000+IF(AND(MOD(H3881,30)&lt;0.02),H3881,0)*VLOOKUP(D3881,'报价表-配送'!$B$54:$I$58,2,0)*1000</f>
        <v>0</v>
      </c>
      <c r="N3881" s="127">
        <f t="shared" ref="N3881:N3882" si="366">SUM(I3881:L3881)</f>
        <v>0</v>
      </c>
    </row>
    <row r="3882" spans="1:14" x14ac:dyDescent="0.25">
      <c r="A3882" s="121" t="s">
        <v>105</v>
      </c>
      <c r="B3882" s="121" t="s">
        <v>109</v>
      </c>
      <c r="C3882" s="62">
        <f>VLOOKUP(B3882,合并仓明细!$D$2:$F$74,3,0)</f>
        <v>63</v>
      </c>
      <c r="D3882" s="122" t="s">
        <v>393</v>
      </c>
      <c r="E3882" s="123">
        <v>46092</v>
      </c>
      <c r="F3882" s="121" t="s">
        <v>68</v>
      </c>
      <c r="G3882" s="121">
        <v>392.76</v>
      </c>
      <c r="H3882" s="124">
        <v>0.41637717299999999</v>
      </c>
      <c r="I3882" s="46">
        <f>ROUNDUP(H3882/30,0)*VLOOKUP(D3882,'报价表-配送'!$B$54:$I$58,8,0)</f>
        <v>0</v>
      </c>
      <c r="J3882" s="125"/>
      <c r="K3882" s="125"/>
      <c r="L3882" s="121"/>
      <c r="M3882" s="126"/>
      <c r="N3882" s="127">
        <f t="shared" si="366"/>
        <v>0</v>
      </c>
    </row>
    <row r="3883" spans="1:14" x14ac:dyDescent="0.25">
      <c r="A3883" s="121" t="s">
        <v>105</v>
      </c>
      <c r="B3883" s="121" t="s">
        <v>109</v>
      </c>
      <c r="C3883" s="62">
        <f>VLOOKUP(B3883,合并仓明细!$D$2:$F$74,3,0)</f>
        <v>63</v>
      </c>
      <c r="D3883" s="122" t="s">
        <v>393</v>
      </c>
      <c r="E3883" s="123">
        <v>46092</v>
      </c>
      <c r="F3883" s="121" t="s">
        <v>67</v>
      </c>
      <c r="G3883" s="121">
        <v>7.4846730000000008</v>
      </c>
      <c r="H3883" s="124"/>
      <c r="I3883" s="125"/>
      <c r="J3883" s="125"/>
      <c r="K3883" s="125"/>
      <c r="L3883" s="121"/>
      <c r="M3883" s="126"/>
      <c r="N3883" s="121"/>
    </row>
    <row r="3884" spans="1:14" x14ac:dyDescent="0.25">
      <c r="A3884" s="121" t="s">
        <v>105</v>
      </c>
      <c r="B3884" s="121" t="s">
        <v>109</v>
      </c>
      <c r="C3884" s="62">
        <f>VLOOKUP(B3884,合并仓明细!$D$2:$F$74,3,0)</f>
        <v>63</v>
      </c>
      <c r="D3884" s="122" t="s">
        <v>393</v>
      </c>
      <c r="E3884" s="123">
        <v>46092</v>
      </c>
      <c r="F3884" s="121" t="s">
        <v>66</v>
      </c>
      <c r="G3884" s="121">
        <v>16.132500000000004</v>
      </c>
      <c r="H3884" s="124"/>
      <c r="I3884" s="125"/>
      <c r="J3884" s="125"/>
      <c r="K3884" s="125"/>
      <c r="L3884" s="121"/>
      <c r="M3884" s="126"/>
      <c r="N3884" s="121"/>
    </row>
    <row r="3885" spans="1:14" x14ac:dyDescent="0.25">
      <c r="A3885" s="121" t="s">
        <v>105</v>
      </c>
      <c r="B3885" s="121" t="s">
        <v>109</v>
      </c>
      <c r="C3885" s="62">
        <f>VLOOKUP(B3885,合并仓明细!$D$2:$F$74,3,0)</f>
        <v>63</v>
      </c>
      <c r="D3885" s="122" t="s">
        <v>393</v>
      </c>
      <c r="E3885" s="123">
        <v>46093</v>
      </c>
      <c r="F3885" s="121" t="s">
        <v>66</v>
      </c>
      <c r="G3885" s="121">
        <v>55.508000000000003</v>
      </c>
      <c r="H3885" s="124">
        <v>5.5508000000000002E-2</v>
      </c>
      <c r="I3885" s="125"/>
      <c r="J3885" s="125"/>
      <c r="K3885" s="125"/>
      <c r="L3885" s="37">
        <f>IF(H3885&gt;30,QUOTIENT(H3885,30)*VLOOKUP(D3885,'报价表-配送'!$B$54:$I$58,8,0),0)+IF(AND(MOD(H3885,30)&gt;18,MOD(H3885,30)&lt;=30),1,0)*VLOOKUP(D3885,'报价表-配送'!$B$54:$I$58,8,0)+IF(AND(MOD(H3885,30)&gt;8,MOD(H3885,30)&lt;=18),1*VLOOKUP(D3885,'报价表-配送'!$B$54:$I$58,7,0),0)+IF(AND(MOD(H3885,30)&lt;=8,MOD(H3885,30)&gt;2.5),1,0)*VLOOKUP(D3885,'报价表-配送'!$B$54:$I$58,6,0)+IF(AND(MOD(H3885,30)&lt;=2.5,MOD(H3885,30)&gt;=1.5),1,0)*VLOOKUP(D3885,'报价表-配送'!$B$54:$I$58,5,0)</f>
        <v>0</v>
      </c>
      <c r="M3885" s="39">
        <f>IF(AND(MOD(H3885,30)&lt;1.5,MOD(H3885,30)&gt;=0.5),H3885,0)*VLOOKUP(D3885,'报价表-配送'!$B$54:$I$58,4,0)*1000+IF(AND(MOD(H3885,30)&lt;0.5,MOD(H3885,30)&gt;=0.02),H3885,0)*VLOOKUP(D3885,'报价表-配送'!$B$54:$I$58,3,0)*1000+IF(AND(MOD(H3885,30)&lt;0.02),H3885,0)*VLOOKUP(D3885,'报价表-配送'!$B$54:$I$58,2,0)*1000</f>
        <v>0</v>
      </c>
      <c r="N3885" s="127">
        <f t="shared" ref="N3885:N3889" si="367">SUM(I3885:L3885)</f>
        <v>0</v>
      </c>
    </row>
    <row r="3886" spans="1:14" x14ac:dyDescent="0.25">
      <c r="A3886" s="121" t="s">
        <v>105</v>
      </c>
      <c r="B3886" s="121" t="s">
        <v>109</v>
      </c>
      <c r="C3886" s="62">
        <f>VLOOKUP(B3886,合并仓明细!$D$2:$F$74,3,0)</f>
        <v>63</v>
      </c>
      <c r="D3886" s="122" t="s">
        <v>393</v>
      </c>
      <c r="E3886" s="123">
        <v>46098</v>
      </c>
      <c r="F3886" s="121" t="s">
        <v>66</v>
      </c>
      <c r="G3886" s="121">
        <v>432.81833332999997</v>
      </c>
      <c r="H3886" s="124">
        <v>0.43281833332999997</v>
      </c>
      <c r="I3886" s="125"/>
      <c r="J3886" s="125"/>
      <c r="K3886" s="125"/>
      <c r="L3886" s="37">
        <f>IF(H3886&gt;30,QUOTIENT(H3886,30)*VLOOKUP(D3886,'报价表-配送'!$B$54:$I$58,8,0),0)+IF(AND(MOD(H3886,30)&gt;18,MOD(H3886,30)&lt;=30),1,0)*VLOOKUP(D3886,'报价表-配送'!$B$54:$I$58,8,0)+IF(AND(MOD(H3886,30)&gt;8,MOD(H3886,30)&lt;=18),1*VLOOKUP(D3886,'报价表-配送'!$B$54:$I$58,7,0),0)+IF(AND(MOD(H3886,30)&lt;=8,MOD(H3886,30)&gt;2.5),1,0)*VLOOKUP(D3886,'报价表-配送'!$B$54:$I$58,6,0)+IF(AND(MOD(H3886,30)&lt;=2.5,MOD(H3886,30)&gt;=1.5),1,0)*VLOOKUP(D3886,'报价表-配送'!$B$54:$I$58,5,0)</f>
        <v>0</v>
      </c>
      <c r="M3886" s="39">
        <f>IF(AND(MOD(H3886,30)&lt;1.5,MOD(H3886,30)&gt;=0.5),H3886,0)*VLOOKUP(D3886,'报价表-配送'!$B$54:$I$58,4,0)*1000+IF(AND(MOD(H3886,30)&lt;0.5,MOD(H3886,30)&gt;=0.02),H3886,0)*VLOOKUP(D3886,'报价表-配送'!$B$54:$I$58,3,0)*1000+IF(AND(MOD(H3886,30)&lt;0.02),H3886,0)*VLOOKUP(D3886,'报价表-配送'!$B$54:$I$58,2,0)*1000</f>
        <v>0</v>
      </c>
      <c r="N3886" s="127">
        <f t="shared" si="367"/>
        <v>0</v>
      </c>
    </row>
    <row r="3887" spans="1:14" x14ac:dyDescent="0.25">
      <c r="A3887" s="121" t="s">
        <v>105</v>
      </c>
      <c r="B3887" s="121" t="s">
        <v>109</v>
      </c>
      <c r="C3887" s="62">
        <f>VLOOKUP(B3887,合并仓明细!$D$2:$F$74,3,0)</f>
        <v>63</v>
      </c>
      <c r="D3887" s="122" t="s">
        <v>393</v>
      </c>
      <c r="E3887" s="123">
        <v>46099</v>
      </c>
      <c r="F3887" s="121" t="s">
        <v>66</v>
      </c>
      <c r="G3887" s="121">
        <v>163.54499999999999</v>
      </c>
      <c r="H3887" s="124">
        <v>0.163545</v>
      </c>
      <c r="I3887" s="125"/>
      <c r="J3887" s="125"/>
      <c r="K3887" s="125"/>
      <c r="L3887" s="37">
        <f>IF(H3887&gt;30,QUOTIENT(H3887,30)*VLOOKUP(D3887,'报价表-配送'!$B$54:$I$58,8,0),0)+IF(AND(MOD(H3887,30)&gt;18,MOD(H3887,30)&lt;=30),1,0)*VLOOKUP(D3887,'报价表-配送'!$B$54:$I$58,8,0)+IF(AND(MOD(H3887,30)&gt;8,MOD(H3887,30)&lt;=18),1*VLOOKUP(D3887,'报价表-配送'!$B$54:$I$58,7,0),0)+IF(AND(MOD(H3887,30)&lt;=8,MOD(H3887,30)&gt;2.5),1,0)*VLOOKUP(D3887,'报价表-配送'!$B$54:$I$58,6,0)+IF(AND(MOD(H3887,30)&lt;=2.5,MOD(H3887,30)&gt;=1.5),1,0)*VLOOKUP(D3887,'报价表-配送'!$B$54:$I$58,5,0)</f>
        <v>0</v>
      </c>
      <c r="M3887" s="39">
        <f>IF(AND(MOD(H3887,30)&lt;1.5,MOD(H3887,30)&gt;=0.5),H3887,0)*VLOOKUP(D3887,'报价表-配送'!$B$54:$I$58,4,0)*1000+IF(AND(MOD(H3887,30)&lt;0.5,MOD(H3887,30)&gt;=0.02),H3887,0)*VLOOKUP(D3887,'报价表-配送'!$B$54:$I$58,3,0)*1000+IF(AND(MOD(H3887,30)&lt;0.02),H3887,0)*VLOOKUP(D3887,'报价表-配送'!$B$54:$I$58,2,0)*1000</f>
        <v>0</v>
      </c>
      <c r="N3887" s="127">
        <f t="shared" si="367"/>
        <v>0</v>
      </c>
    </row>
    <row r="3888" spans="1:14" x14ac:dyDescent="0.25">
      <c r="A3888" s="121" t="s">
        <v>105</v>
      </c>
      <c r="B3888" s="121" t="s">
        <v>109</v>
      </c>
      <c r="C3888" s="62">
        <f>VLOOKUP(B3888,合并仓明细!$D$2:$F$74,3,0)</f>
        <v>63</v>
      </c>
      <c r="D3888" s="122" t="s">
        <v>393</v>
      </c>
      <c r="E3888" s="123">
        <v>46101</v>
      </c>
      <c r="F3888" s="121" t="s">
        <v>66</v>
      </c>
      <c r="G3888" s="121">
        <v>3.66</v>
      </c>
      <c r="H3888" s="124">
        <v>3.6600000000000001E-3</v>
      </c>
      <c r="I3888" s="125"/>
      <c r="J3888" s="125"/>
      <c r="K3888" s="125"/>
      <c r="L3888" s="37">
        <f>IF(H3888&gt;30,QUOTIENT(H3888,30)*VLOOKUP(D3888,'报价表-配送'!$B$54:$I$58,8,0),0)+IF(AND(MOD(H3888,30)&gt;18,MOD(H3888,30)&lt;=30),1,0)*VLOOKUP(D3888,'报价表-配送'!$B$54:$I$58,8,0)+IF(AND(MOD(H3888,30)&gt;8,MOD(H3888,30)&lt;=18),1*VLOOKUP(D3888,'报价表-配送'!$B$54:$I$58,7,0),0)+IF(AND(MOD(H3888,30)&lt;=8,MOD(H3888,30)&gt;2.5),1,0)*VLOOKUP(D3888,'报价表-配送'!$B$54:$I$58,6,0)+IF(AND(MOD(H3888,30)&lt;=2.5,MOD(H3888,30)&gt;=1.5),1,0)*VLOOKUP(D3888,'报价表-配送'!$B$54:$I$58,5,0)</f>
        <v>0</v>
      </c>
      <c r="M3888" s="39">
        <f>IF(AND(MOD(H3888,30)&lt;1.5,MOD(H3888,30)&gt;=0.5),H3888,0)*VLOOKUP(D3888,'报价表-配送'!$B$54:$I$58,4,0)*1000+IF(AND(MOD(H3888,30)&lt;0.5,MOD(H3888,30)&gt;=0.02),H3888,0)*VLOOKUP(D3888,'报价表-配送'!$B$54:$I$58,3,0)*1000+IF(AND(MOD(H3888,30)&lt;0.02),H3888,0)*VLOOKUP(D3888,'报价表-配送'!$B$54:$I$58,2,0)*1000</f>
        <v>0</v>
      </c>
      <c r="N3888" s="127">
        <f t="shared" si="367"/>
        <v>0</v>
      </c>
    </row>
    <row r="3889" spans="1:14" x14ac:dyDescent="0.25">
      <c r="A3889" s="121" t="s">
        <v>105</v>
      </c>
      <c r="B3889" s="121" t="s">
        <v>109</v>
      </c>
      <c r="C3889" s="62">
        <f>VLOOKUP(B3889,合并仓明细!$D$2:$F$74,3,0)</f>
        <v>63</v>
      </c>
      <c r="D3889" s="122" t="s">
        <v>393</v>
      </c>
      <c r="E3889" s="123">
        <v>46105</v>
      </c>
      <c r="F3889" s="121" t="s">
        <v>68</v>
      </c>
      <c r="G3889" s="121">
        <v>9.2722899999999999</v>
      </c>
      <c r="H3889" s="124">
        <v>0.19205783198999998</v>
      </c>
      <c r="I3889" s="46">
        <f>ROUNDUP(H3889/30,0)*VLOOKUP(D3889,'报价表-配送'!$B$54:$I$58,8,0)</f>
        <v>0</v>
      </c>
      <c r="J3889" s="125"/>
      <c r="K3889" s="125"/>
      <c r="L3889" s="121"/>
      <c r="M3889" s="126"/>
      <c r="N3889" s="127">
        <f t="shared" si="367"/>
        <v>0</v>
      </c>
    </row>
    <row r="3890" spans="1:14" x14ac:dyDescent="0.25">
      <c r="A3890" s="121" t="s">
        <v>105</v>
      </c>
      <c r="B3890" s="121" t="s">
        <v>109</v>
      </c>
      <c r="C3890" s="62">
        <f>VLOOKUP(B3890,合并仓明细!$D$2:$F$74,3,0)</f>
        <v>63</v>
      </c>
      <c r="D3890" s="122" t="s">
        <v>393</v>
      </c>
      <c r="E3890" s="123">
        <v>46105</v>
      </c>
      <c r="F3890" s="121" t="s">
        <v>67</v>
      </c>
      <c r="G3890" s="121">
        <v>9.3130419999999994</v>
      </c>
      <c r="H3890" s="124"/>
      <c r="I3890" s="125"/>
      <c r="J3890" s="125"/>
      <c r="K3890" s="125"/>
      <c r="L3890" s="121"/>
      <c r="M3890" s="126"/>
      <c r="N3890" s="121"/>
    </row>
    <row r="3891" spans="1:14" x14ac:dyDescent="0.25">
      <c r="A3891" s="121" t="s">
        <v>105</v>
      </c>
      <c r="B3891" s="121" t="s">
        <v>109</v>
      </c>
      <c r="C3891" s="62">
        <f>VLOOKUP(B3891,合并仓明细!$D$2:$F$74,3,0)</f>
        <v>63</v>
      </c>
      <c r="D3891" s="122" t="s">
        <v>393</v>
      </c>
      <c r="E3891" s="123">
        <v>46105</v>
      </c>
      <c r="F3891" s="121" t="s">
        <v>66</v>
      </c>
      <c r="G3891" s="121">
        <v>173.47249998999999</v>
      </c>
      <c r="H3891" s="124"/>
      <c r="I3891" s="125"/>
      <c r="J3891" s="125"/>
      <c r="K3891" s="125"/>
      <c r="L3891" s="121"/>
      <c r="M3891" s="126"/>
      <c r="N3891" s="121"/>
    </row>
    <row r="3892" spans="1:14" x14ac:dyDescent="0.25">
      <c r="A3892" s="121" t="s">
        <v>105</v>
      </c>
      <c r="B3892" s="121" t="s">
        <v>109</v>
      </c>
      <c r="C3892" s="62">
        <f>VLOOKUP(B3892,合并仓明细!$D$2:$F$74,3,0)</f>
        <v>63</v>
      </c>
      <c r="D3892" s="122" t="s">
        <v>393</v>
      </c>
      <c r="E3892" s="123">
        <v>46106</v>
      </c>
      <c r="F3892" s="121" t="s">
        <v>67</v>
      </c>
      <c r="G3892" s="121">
        <v>3.4785400000000002</v>
      </c>
      <c r="H3892" s="124">
        <v>0.13249187333000001</v>
      </c>
      <c r="I3892" s="38">
        <f>IF(H3892&gt;30,QUOTIENT(H3892,30)*VLOOKUP(D3892,'报价表-配送'!$B$54:$I$58,8,0),0)+IF(AND(MOD(H3892,30)&gt;18,MOD(H3892,30)&lt;=30),1,0)*VLOOKUP(D3892,'报价表-配送'!$B$54:$I$58,8,0)</f>
        <v>0</v>
      </c>
      <c r="J3892" s="38">
        <f>IF(AND(MOD(H3892,30)&gt;8,MOD(H3892,30)&lt;=18),1*VLOOKUP(D3892,'报价表-配送'!$B$54:$I$58,7,0),0)</f>
        <v>0</v>
      </c>
      <c r="K3892" s="38">
        <f>IF(AND(MOD(H3892,30)&lt;=8,MOD(H3892,30)&gt;0),1,0)*VLOOKUP(D3892,'报价表-配送'!$B$54:$I$58,6,0)</f>
        <v>0</v>
      </c>
      <c r="L3892" s="121"/>
      <c r="M3892" s="126"/>
      <c r="N3892" s="127">
        <f t="shared" ref="N3892" si="368">SUM(I3892:L3892)</f>
        <v>0</v>
      </c>
    </row>
    <row r="3893" spans="1:14" x14ac:dyDescent="0.25">
      <c r="A3893" s="121" t="s">
        <v>105</v>
      </c>
      <c r="B3893" s="121" t="s">
        <v>109</v>
      </c>
      <c r="C3893" s="62">
        <f>VLOOKUP(B3893,合并仓明细!$D$2:$F$74,3,0)</f>
        <v>63</v>
      </c>
      <c r="D3893" s="122" t="s">
        <v>393</v>
      </c>
      <c r="E3893" s="123">
        <v>46106</v>
      </c>
      <c r="F3893" s="121" t="s">
        <v>66</v>
      </c>
      <c r="G3893" s="121">
        <v>129.01333332999999</v>
      </c>
      <c r="H3893" s="124"/>
      <c r="I3893" s="125"/>
      <c r="J3893" s="125"/>
      <c r="K3893" s="125"/>
      <c r="L3893" s="121"/>
      <c r="M3893" s="126"/>
      <c r="N3893" s="121"/>
    </row>
    <row r="3894" spans="1:14" x14ac:dyDescent="0.25">
      <c r="A3894" s="121" t="s">
        <v>105</v>
      </c>
      <c r="B3894" s="121" t="s">
        <v>109</v>
      </c>
      <c r="C3894" s="62">
        <f>VLOOKUP(B3894,合并仓明细!$D$2:$F$74,3,0)</f>
        <v>63</v>
      </c>
      <c r="D3894" s="122" t="s">
        <v>393</v>
      </c>
      <c r="E3894" s="123">
        <v>46108</v>
      </c>
      <c r="F3894" s="121" t="s">
        <v>66</v>
      </c>
      <c r="G3894" s="121">
        <v>113.57568333</v>
      </c>
      <c r="H3894" s="124">
        <v>0.11357568333000001</v>
      </c>
      <c r="I3894" s="125"/>
      <c r="J3894" s="125"/>
      <c r="K3894" s="125"/>
      <c r="L3894" s="37">
        <f>IF(H3894&gt;30,QUOTIENT(H3894,30)*VLOOKUP(D3894,'报价表-配送'!$B$54:$I$58,8,0),0)+IF(AND(MOD(H3894,30)&gt;18,MOD(H3894,30)&lt;=30),1,0)*VLOOKUP(D3894,'报价表-配送'!$B$54:$I$58,8,0)+IF(AND(MOD(H3894,30)&gt;8,MOD(H3894,30)&lt;=18),1*VLOOKUP(D3894,'报价表-配送'!$B$54:$I$58,7,0),0)+IF(AND(MOD(H3894,30)&lt;=8,MOD(H3894,30)&gt;2.5),1,0)*VLOOKUP(D3894,'报价表-配送'!$B$54:$I$58,6,0)+IF(AND(MOD(H3894,30)&lt;=2.5,MOD(H3894,30)&gt;=1.5),1,0)*VLOOKUP(D3894,'报价表-配送'!$B$54:$I$58,5,0)</f>
        <v>0</v>
      </c>
      <c r="M3894" s="39">
        <f>IF(AND(MOD(H3894,30)&lt;1.5,MOD(H3894,30)&gt;=0.5),H3894,0)*VLOOKUP(D3894,'报价表-配送'!$B$54:$I$58,4,0)*1000+IF(AND(MOD(H3894,30)&lt;0.5,MOD(H3894,30)&gt;=0.02),H3894,0)*VLOOKUP(D3894,'报价表-配送'!$B$54:$I$58,3,0)*1000+IF(AND(MOD(H3894,30)&lt;0.02),H3894,0)*VLOOKUP(D3894,'报价表-配送'!$B$54:$I$58,2,0)*1000</f>
        <v>0</v>
      </c>
      <c r="N3894" s="127">
        <f t="shared" ref="N3894:N3899" si="369">SUM(I3894:L3894)</f>
        <v>0</v>
      </c>
    </row>
    <row r="3895" spans="1:14" x14ac:dyDescent="0.25">
      <c r="A3895" s="121" t="s">
        <v>105</v>
      </c>
      <c r="B3895" s="121" t="s">
        <v>546</v>
      </c>
      <c r="C3895" s="62">
        <f>VLOOKUP(B3895,合并仓明细!$D$2:$F$74,3,0)</f>
        <v>324</v>
      </c>
      <c r="D3895" s="122" t="s">
        <v>410</v>
      </c>
      <c r="E3895" s="123">
        <v>46058</v>
      </c>
      <c r="F3895" s="121" t="s">
        <v>67</v>
      </c>
      <c r="G3895" s="121">
        <v>2148.8518199999999</v>
      </c>
      <c r="H3895" s="124">
        <v>2.14885182</v>
      </c>
      <c r="I3895" s="38">
        <f>IF(H3895&gt;30,QUOTIENT(H3895,30)*VLOOKUP(D3895,'报价表-配送'!$B$54:$I$58,8,0),0)+IF(AND(MOD(H3895,30)&gt;18,MOD(H3895,30)&lt;=30),1,0)*VLOOKUP(D3895,'报价表-配送'!$B$54:$I$58,8,0)</f>
        <v>0</v>
      </c>
      <c r="J3895" s="38">
        <f>IF(AND(MOD(H3895,30)&gt;8,MOD(H3895,30)&lt;=18),1*VLOOKUP(D3895,'报价表-配送'!$B$54:$I$58,7,0),0)</f>
        <v>0</v>
      </c>
      <c r="K3895" s="38">
        <f>IF(AND(MOD(H3895,30)&lt;=8,MOD(H3895,30)&gt;0),1,0)*VLOOKUP(D3895,'报价表-配送'!$B$54:$I$58,6,0)</f>
        <v>0</v>
      </c>
      <c r="L3895" s="121"/>
      <c r="M3895" s="126"/>
      <c r="N3895" s="127">
        <f t="shared" si="369"/>
        <v>0</v>
      </c>
    </row>
    <row r="3896" spans="1:14" x14ac:dyDescent="0.25">
      <c r="A3896" s="121" t="s">
        <v>105</v>
      </c>
      <c r="B3896" s="121" t="s">
        <v>546</v>
      </c>
      <c r="C3896" s="62">
        <f>VLOOKUP(B3896,合并仓明细!$D$2:$F$74,3,0)</f>
        <v>324</v>
      </c>
      <c r="D3896" s="122" t="s">
        <v>410</v>
      </c>
      <c r="E3896" s="123">
        <v>46083</v>
      </c>
      <c r="F3896" s="121" t="s">
        <v>66</v>
      </c>
      <c r="G3896" s="121">
        <v>276.67666667000003</v>
      </c>
      <c r="H3896" s="124">
        <v>0.27667666667000002</v>
      </c>
      <c r="I3896" s="125"/>
      <c r="J3896" s="125"/>
      <c r="K3896" s="125"/>
      <c r="L3896" s="37">
        <f>IF(H3896&gt;30,QUOTIENT(H3896,30)*VLOOKUP(D3896,'报价表-配送'!$B$54:$I$58,8,0),0)+IF(AND(MOD(H3896,30)&gt;18,MOD(H3896,30)&lt;=30),1,0)*VLOOKUP(D3896,'报价表-配送'!$B$54:$I$58,8,0)+IF(AND(MOD(H3896,30)&gt;8,MOD(H3896,30)&lt;=18),1*VLOOKUP(D3896,'报价表-配送'!$B$54:$I$58,7,0),0)+IF(AND(MOD(H3896,30)&lt;=8,MOD(H3896,30)&gt;2.5),1,0)*VLOOKUP(D3896,'报价表-配送'!$B$54:$I$58,6,0)+IF(AND(MOD(H3896,30)&lt;=2.5,MOD(H3896,30)&gt;=1.5),1,0)*VLOOKUP(D3896,'报价表-配送'!$B$54:$I$58,5,0)</f>
        <v>0</v>
      </c>
      <c r="M3896" s="39">
        <f>IF(AND(MOD(H3896,30)&lt;1.5,MOD(H3896,30)&gt;=0.5),H3896,0)*VLOOKUP(D3896,'报价表-配送'!$B$54:$I$58,4,0)*1000+IF(AND(MOD(H3896,30)&lt;0.5,MOD(H3896,30)&gt;=0.02),H3896,0)*VLOOKUP(D3896,'报价表-配送'!$B$54:$I$58,3,0)*1000+IF(AND(MOD(H3896,30)&lt;0.02),H3896,0)*VLOOKUP(D3896,'报价表-配送'!$B$54:$I$58,2,0)*1000</f>
        <v>0</v>
      </c>
      <c r="N3896" s="127">
        <f t="shared" si="369"/>
        <v>0</v>
      </c>
    </row>
    <row r="3897" spans="1:14" x14ac:dyDescent="0.25">
      <c r="A3897" s="121" t="s">
        <v>105</v>
      </c>
      <c r="B3897" s="121" t="s">
        <v>110</v>
      </c>
      <c r="C3897" s="62">
        <f>VLOOKUP(B3897,合并仓明细!$D$2:$F$74,3,0)</f>
        <v>220</v>
      </c>
      <c r="D3897" s="122" t="s">
        <v>414</v>
      </c>
      <c r="E3897" s="123">
        <v>45945</v>
      </c>
      <c r="F3897" s="121" t="s">
        <v>66</v>
      </c>
      <c r="G3897" s="121">
        <v>106.24999999999999</v>
      </c>
      <c r="H3897" s="124">
        <v>0.10624999999999998</v>
      </c>
      <c r="I3897" s="125"/>
      <c r="J3897" s="125"/>
      <c r="K3897" s="125"/>
      <c r="L3897" s="37">
        <f>IF(H3897&gt;30,QUOTIENT(H3897,30)*VLOOKUP(D3897,'报价表-配送'!$B$54:$I$58,8,0),0)+IF(AND(MOD(H3897,30)&gt;18,MOD(H3897,30)&lt;=30),1,0)*VLOOKUP(D3897,'报价表-配送'!$B$54:$I$58,8,0)+IF(AND(MOD(H3897,30)&gt;8,MOD(H3897,30)&lt;=18),1*VLOOKUP(D3897,'报价表-配送'!$B$54:$I$58,7,0),0)+IF(AND(MOD(H3897,30)&lt;=8,MOD(H3897,30)&gt;2.5),1,0)*VLOOKUP(D3897,'报价表-配送'!$B$54:$I$58,6,0)+IF(AND(MOD(H3897,30)&lt;=2.5,MOD(H3897,30)&gt;=1.5),1,0)*VLOOKUP(D3897,'报价表-配送'!$B$54:$I$58,5,0)</f>
        <v>0</v>
      </c>
      <c r="M3897" s="39">
        <f>IF(AND(MOD(H3897,30)&lt;1.5,MOD(H3897,30)&gt;=0.5),H3897,0)*VLOOKUP(D3897,'报价表-配送'!$B$54:$I$58,4,0)*1000+IF(AND(MOD(H3897,30)&lt;0.5,MOD(H3897,30)&gt;=0.02),H3897,0)*VLOOKUP(D3897,'报价表-配送'!$B$54:$I$58,3,0)*1000+IF(AND(MOD(H3897,30)&lt;0.02),H3897,0)*VLOOKUP(D3897,'报价表-配送'!$B$54:$I$58,2,0)*1000</f>
        <v>0</v>
      </c>
      <c r="N3897" s="127">
        <f t="shared" si="369"/>
        <v>0</v>
      </c>
    </row>
    <row r="3898" spans="1:14" x14ac:dyDescent="0.25">
      <c r="A3898" s="121" t="s">
        <v>105</v>
      </c>
      <c r="B3898" s="121" t="s">
        <v>110</v>
      </c>
      <c r="C3898" s="62">
        <f>VLOOKUP(B3898,合并仓明细!$D$2:$F$74,3,0)</f>
        <v>220</v>
      </c>
      <c r="D3898" s="122" t="s">
        <v>414</v>
      </c>
      <c r="E3898" s="123">
        <v>45953</v>
      </c>
      <c r="F3898" s="121" t="s">
        <v>66</v>
      </c>
      <c r="G3898" s="121">
        <v>25.286666660000002</v>
      </c>
      <c r="H3898" s="124">
        <v>2.5286666660000002E-2</v>
      </c>
      <c r="I3898" s="125"/>
      <c r="J3898" s="125"/>
      <c r="K3898" s="125"/>
      <c r="L3898" s="37">
        <f>IF(H3898&gt;30,QUOTIENT(H3898,30)*VLOOKUP(D3898,'报价表-配送'!$B$54:$I$58,8,0),0)+IF(AND(MOD(H3898,30)&gt;18,MOD(H3898,30)&lt;=30),1,0)*VLOOKUP(D3898,'报价表-配送'!$B$54:$I$58,8,0)+IF(AND(MOD(H3898,30)&gt;8,MOD(H3898,30)&lt;=18),1*VLOOKUP(D3898,'报价表-配送'!$B$54:$I$58,7,0),0)+IF(AND(MOD(H3898,30)&lt;=8,MOD(H3898,30)&gt;2.5),1,0)*VLOOKUP(D3898,'报价表-配送'!$B$54:$I$58,6,0)+IF(AND(MOD(H3898,30)&lt;=2.5,MOD(H3898,30)&gt;=1.5),1,0)*VLOOKUP(D3898,'报价表-配送'!$B$54:$I$58,5,0)</f>
        <v>0</v>
      </c>
      <c r="M3898" s="39">
        <f>IF(AND(MOD(H3898,30)&lt;1.5,MOD(H3898,30)&gt;=0.5),H3898,0)*VLOOKUP(D3898,'报价表-配送'!$B$54:$I$58,4,0)*1000+IF(AND(MOD(H3898,30)&lt;0.5,MOD(H3898,30)&gt;=0.02),H3898,0)*VLOOKUP(D3898,'报价表-配送'!$B$54:$I$58,3,0)*1000+IF(AND(MOD(H3898,30)&lt;0.02),H3898,0)*VLOOKUP(D3898,'报价表-配送'!$B$54:$I$58,2,0)*1000</f>
        <v>0</v>
      </c>
      <c r="N3898" s="127">
        <f t="shared" si="369"/>
        <v>0</v>
      </c>
    </row>
    <row r="3899" spans="1:14" x14ac:dyDescent="0.25">
      <c r="A3899" s="121" t="s">
        <v>105</v>
      </c>
      <c r="B3899" s="121" t="s">
        <v>110</v>
      </c>
      <c r="C3899" s="62">
        <f>VLOOKUP(B3899,合并仓明细!$D$2:$F$74,3,0)</f>
        <v>220</v>
      </c>
      <c r="D3899" s="122" t="s">
        <v>414</v>
      </c>
      <c r="E3899" s="123">
        <v>45958</v>
      </c>
      <c r="F3899" s="121" t="s">
        <v>68</v>
      </c>
      <c r="G3899" s="121">
        <v>633.63599999999997</v>
      </c>
      <c r="H3899" s="124">
        <v>8.6519019799999999</v>
      </c>
      <c r="I3899" s="46">
        <f>ROUNDUP(H3899/30,0)*VLOOKUP(D3899,'报价表-配送'!$B$54:$I$58,8,0)</f>
        <v>0</v>
      </c>
      <c r="J3899" s="125"/>
      <c r="K3899" s="125"/>
      <c r="L3899" s="121"/>
      <c r="M3899" s="126"/>
      <c r="N3899" s="127">
        <f t="shared" si="369"/>
        <v>0</v>
      </c>
    </row>
    <row r="3900" spans="1:14" x14ac:dyDescent="0.25">
      <c r="A3900" s="121" t="s">
        <v>105</v>
      </c>
      <c r="B3900" s="121" t="s">
        <v>110</v>
      </c>
      <c r="C3900" s="62">
        <f>VLOOKUP(B3900,合并仓明细!$D$2:$F$74,3,0)</f>
        <v>220</v>
      </c>
      <c r="D3900" s="122" t="s">
        <v>414</v>
      </c>
      <c r="E3900" s="123">
        <v>45958</v>
      </c>
      <c r="F3900" s="121" t="s">
        <v>67</v>
      </c>
      <c r="G3900" s="121">
        <v>7183.3444799999997</v>
      </c>
      <c r="H3900" s="124"/>
      <c r="I3900" s="125"/>
      <c r="J3900" s="125"/>
      <c r="K3900" s="125"/>
      <c r="L3900" s="121"/>
      <c r="M3900" s="126"/>
      <c r="N3900" s="121"/>
    </row>
    <row r="3901" spans="1:14" x14ac:dyDescent="0.25">
      <c r="A3901" s="121" t="s">
        <v>105</v>
      </c>
      <c r="B3901" s="121" t="s">
        <v>110</v>
      </c>
      <c r="C3901" s="62">
        <f>VLOOKUP(B3901,合并仓明细!$D$2:$F$74,3,0)</f>
        <v>220</v>
      </c>
      <c r="D3901" s="122" t="s">
        <v>414</v>
      </c>
      <c r="E3901" s="123">
        <v>45958</v>
      </c>
      <c r="F3901" s="121" t="s">
        <v>66</v>
      </c>
      <c r="G3901" s="121">
        <v>834.92149999999992</v>
      </c>
      <c r="H3901" s="124"/>
      <c r="I3901" s="125"/>
      <c r="J3901" s="125"/>
      <c r="K3901" s="125"/>
      <c r="L3901" s="121"/>
      <c r="M3901" s="126"/>
      <c r="N3901" s="121"/>
    </row>
    <row r="3902" spans="1:14" x14ac:dyDescent="0.25">
      <c r="A3902" s="121" t="s">
        <v>105</v>
      </c>
      <c r="B3902" s="121" t="s">
        <v>110</v>
      </c>
      <c r="C3902" s="62">
        <f>VLOOKUP(B3902,合并仓明细!$D$2:$F$74,3,0)</f>
        <v>220</v>
      </c>
      <c r="D3902" s="122" t="s">
        <v>414</v>
      </c>
      <c r="E3902" s="123">
        <v>45972</v>
      </c>
      <c r="F3902" s="121" t="s">
        <v>68</v>
      </c>
      <c r="G3902" s="121">
        <v>5370.5280000000002</v>
      </c>
      <c r="H3902" s="124">
        <v>7.3340721666500004</v>
      </c>
      <c r="I3902" s="46">
        <f>ROUNDUP(H3902/30,0)*VLOOKUP(D3902,'报价表-配送'!$B$54:$I$58,8,0)</f>
        <v>0</v>
      </c>
      <c r="J3902" s="125"/>
      <c r="K3902" s="125"/>
      <c r="L3902" s="121"/>
      <c r="M3902" s="126"/>
      <c r="N3902" s="127">
        <f t="shared" ref="N3902" si="370">SUM(I3902:L3902)</f>
        <v>0</v>
      </c>
    </row>
    <row r="3903" spans="1:14" x14ac:dyDescent="0.25">
      <c r="A3903" s="121" t="s">
        <v>105</v>
      </c>
      <c r="B3903" s="121" t="s">
        <v>110</v>
      </c>
      <c r="C3903" s="62">
        <f>VLOOKUP(B3903,合并仓明细!$D$2:$F$74,3,0)</f>
        <v>220</v>
      </c>
      <c r="D3903" s="122" t="s">
        <v>414</v>
      </c>
      <c r="E3903" s="123">
        <v>45972</v>
      </c>
      <c r="F3903" s="121" t="s">
        <v>67</v>
      </c>
      <c r="G3903" s="121">
        <v>1513.44</v>
      </c>
      <c r="H3903" s="124"/>
      <c r="I3903" s="125"/>
      <c r="J3903" s="125"/>
      <c r="K3903" s="125"/>
      <c r="L3903" s="121"/>
      <c r="M3903" s="126"/>
      <c r="N3903" s="121"/>
    </row>
    <row r="3904" spans="1:14" x14ac:dyDescent="0.25">
      <c r="A3904" s="121" t="s">
        <v>105</v>
      </c>
      <c r="B3904" s="121" t="s">
        <v>110</v>
      </c>
      <c r="C3904" s="62">
        <f>VLOOKUP(B3904,合并仓明细!$D$2:$F$74,3,0)</f>
        <v>220</v>
      </c>
      <c r="D3904" s="122" t="s">
        <v>414</v>
      </c>
      <c r="E3904" s="123">
        <v>45972</v>
      </c>
      <c r="F3904" s="121" t="s">
        <v>66</v>
      </c>
      <c r="G3904" s="121">
        <v>450.10416664999991</v>
      </c>
      <c r="H3904" s="124"/>
      <c r="I3904" s="125"/>
      <c r="J3904" s="125"/>
      <c r="K3904" s="125"/>
      <c r="L3904" s="121"/>
      <c r="M3904" s="126"/>
      <c r="N3904" s="121"/>
    </row>
    <row r="3905" spans="1:14" x14ac:dyDescent="0.25">
      <c r="A3905" s="121" t="s">
        <v>105</v>
      </c>
      <c r="B3905" s="121" t="s">
        <v>110</v>
      </c>
      <c r="C3905" s="62">
        <f>VLOOKUP(B3905,合并仓明细!$D$2:$F$74,3,0)</f>
        <v>220</v>
      </c>
      <c r="D3905" s="122" t="s">
        <v>414</v>
      </c>
      <c r="E3905" s="123">
        <v>45987</v>
      </c>
      <c r="F3905" s="121" t="s">
        <v>66</v>
      </c>
      <c r="G3905" s="121">
        <v>120.54499999999999</v>
      </c>
      <c r="H3905" s="124">
        <v>0.12054499999999999</v>
      </c>
      <c r="I3905" s="125"/>
      <c r="J3905" s="125"/>
      <c r="K3905" s="125"/>
      <c r="L3905" s="37">
        <f>IF(H3905&gt;30,QUOTIENT(H3905,30)*VLOOKUP(D3905,'报价表-配送'!$B$54:$I$58,8,0),0)+IF(AND(MOD(H3905,30)&gt;18,MOD(H3905,30)&lt;=30),1,0)*VLOOKUP(D3905,'报价表-配送'!$B$54:$I$58,8,0)+IF(AND(MOD(H3905,30)&gt;8,MOD(H3905,30)&lt;=18),1*VLOOKUP(D3905,'报价表-配送'!$B$54:$I$58,7,0),0)+IF(AND(MOD(H3905,30)&lt;=8,MOD(H3905,30)&gt;2.5),1,0)*VLOOKUP(D3905,'报价表-配送'!$B$54:$I$58,6,0)+IF(AND(MOD(H3905,30)&lt;=2.5,MOD(H3905,30)&gt;=1.5),1,0)*VLOOKUP(D3905,'报价表-配送'!$B$54:$I$58,5,0)</f>
        <v>0</v>
      </c>
      <c r="M3905" s="39">
        <f>IF(AND(MOD(H3905,30)&lt;1.5,MOD(H3905,30)&gt;=0.5),H3905,0)*VLOOKUP(D3905,'报价表-配送'!$B$54:$I$58,4,0)*1000+IF(AND(MOD(H3905,30)&lt;0.5,MOD(H3905,30)&gt;=0.02),H3905,0)*VLOOKUP(D3905,'报价表-配送'!$B$54:$I$58,3,0)*1000+IF(AND(MOD(H3905,30)&lt;0.02),H3905,0)*VLOOKUP(D3905,'报价表-配送'!$B$54:$I$58,2,0)*1000</f>
        <v>0</v>
      </c>
      <c r="N3905" s="127">
        <f t="shared" ref="N3905:N3910" si="371">SUM(I3905:L3905)</f>
        <v>0</v>
      </c>
    </row>
    <row r="3906" spans="1:14" x14ac:dyDescent="0.25">
      <c r="A3906" s="121" t="s">
        <v>105</v>
      </c>
      <c r="B3906" s="121" t="s">
        <v>110</v>
      </c>
      <c r="C3906" s="62">
        <f>VLOOKUP(B3906,合并仓明细!$D$2:$F$74,3,0)</f>
        <v>220</v>
      </c>
      <c r="D3906" s="122" t="s">
        <v>414</v>
      </c>
      <c r="E3906" s="123">
        <v>46015</v>
      </c>
      <c r="F3906" s="121" t="s">
        <v>66</v>
      </c>
      <c r="G3906" s="121">
        <v>556.69611856000006</v>
      </c>
      <c r="H3906" s="124">
        <v>0.55669611856000001</v>
      </c>
      <c r="I3906" s="125"/>
      <c r="J3906" s="125"/>
      <c r="K3906" s="125"/>
      <c r="L3906" s="37">
        <f>IF(H3906&gt;30,QUOTIENT(H3906,30)*VLOOKUP(D3906,'报价表-配送'!$B$54:$I$58,8,0),0)+IF(AND(MOD(H3906,30)&gt;18,MOD(H3906,30)&lt;=30),1,0)*VLOOKUP(D3906,'报价表-配送'!$B$54:$I$58,8,0)+IF(AND(MOD(H3906,30)&gt;8,MOD(H3906,30)&lt;=18),1*VLOOKUP(D3906,'报价表-配送'!$B$54:$I$58,7,0),0)+IF(AND(MOD(H3906,30)&lt;=8,MOD(H3906,30)&gt;2.5),1,0)*VLOOKUP(D3906,'报价表-配送'!$B$54:$I$58,6,0)+IF(AND(MOD(H3906,30)&lt;=2.5,MOD(H3906,30)&gt;=1.5),1,0)*VLOOKUP(D3906,'报价表-配送'!$B$54:$I$58,5,0)</f>
        <v>0</v>
      </c>
      <c r="M3906" s="39">
        <f>IF(AND(MOD(H3906,30)&lt;1.5,MOD(H3906,30)&gt;=0.5),H3906,0)*VLOOKUP(D3906,'报价表-配送'!$B$54:$I$58,4,0)*1000+IF(AND(MOD(H3906,30)&lt;0.5,MOD(H3906,30)&gt;=0.02),H3906,0)*VLOOKUP(D3906,'报价表-配送'!$B$54:$I$58,3,0)*1000+IF(AND(MOD(H3906,30)&lt;0.02),H3906,0)*VLOOKUP(D3906,'报价表-配送'!$B$54:$I$58,2,0)*1000</f>
        <v>0</v>
      </c>
      <c r="N3906" s="127">
        <f t="shared" si="371"/>
        <v>0</v>
      </c>
    </row>
    <row r="3907" spans="1:14" x14ac:dyDescent="0.25">
      <c r="A3907" s="121" t="s">
        <v>105</v>
      </c>
      <c r="B3907" s="121" t="s">
        <v>110</v>
      </c>
      <c r="C3907" s="62">
        <f>VLOOKUP(B3907,合并仓明细!$D$2:$F$74,3,0)</f>
        <v>220</v>
      </c>
      <c r="D3907" s="122" t="s">
        <v>414</v>
      </c>
      <c r="E3907" s="123">
        <v>46030</v>
      </c>
      <c r="F3907" s="121" t="s">
        <v>66</v>
      </c>
      <c r="G3907" s="121">
        <v>19.523333340000001</v>
      </c>
      <c r="H3907" s="124">
        <v>1.9523333340000001E-2</v>
      </c>
      <c r="I3907" s="125"/>
      <c r="J3907" s="125"/>
      <c r="K3907" s="125"/>
      <c r="L3907" s="37">
        <f>IF(H3907&gt;30,QUOTIENT(H3907,30)*VLOOKUP(D3907,'报价表-配送'!$B$54:$I$58,8,0),0)+IF(AND(MOD(H3907,30)&gt;18,MOD(H3907,30)&lt;=30),1,0)*VLOOKUP(D3907,'报价表-配送'!$B$54:$I$58,8,0)+IF(AND(MOD(H3907,30)&gt;8,MOD(H3907,30)&lt;=18),1*VLOOKUP(D3907,'报价表-配送'!$B$54:$I$58,7,0),0)+IF(AND(MOD(H3907,30)&lt;=8,MOD(H3907,30)&gt;2.5),1,0)*VLOOKUP(D3907,'报价表-配送'!$B$54:$I$58,6,0)+IF(AND(MOD(H3907,30)&lt;=2.5,MOD(H3907,30)&gt;=1.5),1,0)*VLOOKUP(D3907,'报价表-配送'!$B$54:$I$58,5,0)</f>
        <v>0</v>
      </c>
      <c r="M3907" s="39">
        <f>IF(AND(MOD(H3907,30)&lt;1.5,MOD(H3907,30)&gt;=0.5),H3907,0)*VLOOKUP(D3907,'报价表-配送'!$B$54:$I$58,4,0)*1000+IF(AND(MOD(H3907,30)&lt;0.5,MOD(H3907,30)&gt;=0.02),H3907,0)*VLOOKUP(D3907,'报价表-配送'!$B$54:$I$58,3,0)*1000+IF(AND(MOD(H3907,30)&lt;0.02),H3907,0)*VLOOKUP(D3907,'报价表-配送'!$B$54:$I$58,2,0)*1000</f>
        <v>0</v>
      </c>
      <c r="N3907" s="127">
        <f t="shared" si="371"/>
        <v>0</v>
      </c>
    </row>
    <row r="3908" spans="1:14" x14ac:dyDescent="0.25">
      <c r="A3908" s="121" t="s">
        <v>105</v>
      </c>
      <c r="B3908" s="121" t="s">
        <v>110</v>
      </c>
      <c r="C3908" s="62">
        <f>VLOOKUP(B3908,合并仓明细!$D$2:$F$74,3,0)</f>
        <v>220</v>
      </c>
      <c r="D3908" s="122" t="s">
        <v>414</v>
      </c>
      <c r="E3908" s="123">
        <v>46045</v>
      </c>
      <c r="F3908" s="121" t="s">
        <v>66</v>
      </c>
      <c r="G3908" s="121">
        <v>168.81130954000002</v>
      </c>
      <c r="H3908" s="124">
        <v>0.16881130954000004</v>
      </c>
      <c r="I3908" s="125"/>
      <c r="J3908" s="125"/>
      <c r="K3908" s="125"/>
      <c r="L3908" s="37">
        <f>IF(H3908&gt;30,QUOTIENT(H3908,30)*VLOOKUP(D3908,'报价表-配送'!$B$54:$I$58,8,0),0)+IF(AND(MOD(H3908,30)&gt;18,MOD(H3908,30)&lt;=30),1,0)*VLOOKUP(D3908,'报价表-配送'!$B$54:$I$58,8,0)+IF(AND(MOD(H3908,30)&gt;8,MOD(H3908,30)&lt;=18),1*VLOOKUP(D3908,'报价表-配送'!$B$54:$I$58,7,0),0)+IF(AND(MOD(H3908,30)&lt;=8,MOD(H3908,30)&gt;2.5),1,0)*VLOOKUP(D3908,'报价表-配送'!$B$54:$I$58,6,0)+IF(AND(MOD(H3908,30)&lt;=2.5,MOD(H3908,30)&gt;=1.5),1,0)*VLOOKUP(D3908,'报价表-配送'!$B$54:$I$58,5,0)</f>
        <v>0</v>
      </c>
      <c r="M3908" s="39">
        <f>IF(AND(MOD(H3908,30)&lt;1.5,MOD(H3908,30)&gt;=0.5),H3908,0)*VLOOKUP(D3908,'报价表-配送'!$B$54:$I$58,4,0)*1000+IF(AND(MOD(H3908,30)&lt;0.5,MOD(H3908,30)&gt;=0.02),H3908,0)*VLOOKUP(D3908,'报价表-配送'!$B$54:$I$58,3,0)*1000+IF(AND(MOD(H3908,30)&lt;0.02),H3908,0)*VLOOKUP(D3908,'报价表-配送'!$B$54:$I$58,2,0)*1000</f>
        <v>0</v>
      </c>
      <c r="N3908" s="127">
        <f t="shared" si="371"/>
        <v>0</v>
      </c>
    </row>
    <row r="3909" spans="1:14" x14ac:dyDescent="0.25">
      <c r="A3909" s="121" t="s">
        <v>105</v>
      </c>
      <c r="B3909" s="121" t="s">
        <v>110</v>
      </c>
      <c r="C3909" s="62">
        <f>VLOOKUP(B3909,合并仓明细!$D$2:$F$74,3,0)</f>
        <v>220</v>
      </c>
      <c r="D3909" s="122" t="s">
        <v>414</v>
      </c>
      <c r="E3909" s="123">
        <v>46058</v>
      </c>
      <c r="F3909" s="121" t="s">
        <v>66</v>
      </c>
      <c r="G3909" s="121">
        <v>2.9650000000000003</v>
      </c>
      <c r="H3909" s="124">
        <v>2.9650000000000002E-3</v>
      </c>
      <c r="I3909" s="125"/>
      <c r="J3909" s="125"/>
      <c r="K3909" s="125"/>
      <c r="L3909" s="37">
        <f>IF(H3909&gt;30,QUOTIENT(H3909,30)*VLOOKUP(D3909,'报价表-配送'!$B$54:$I$58,8,0),0)+IF(AND(MOD(H3909,30)&gt;18,MOD(H3909,30)&lt;=30),1,0)*VLOOKUP(D3909,'报价表-配送'!$B$54:$I$58,8,0)+IF(AND(MOD(H3909,30)&gt;8,MOD(H3909,30)&lt;=18),1*VLOOKUP(D3909,'报价表-配送'!$B$54:$I$58,7,0),0)+IF(AND(MOD(H3909,30)&lt;=8,MOD(H3909,30)&gt;2.5),1,0)*VLOOKUP(D3909,'报价表-配送'!$B$54:$I$58,6,0)+IF(AND(MOD(H3909,30)&lt;=2.5,MOD(H3909,30)&gt;=1.5),1,0)*VLOOKUP(D3909,'报价表-配送'!$B$54:$I$58,5,0)</f>
        <v>0</v>
      </c>
      <c r="M3909" s="39">
        <f>IF(AND(MOD(H3909,30)&lt;1.5,MOD(H3909,30)&gt;=0.5),H3909,0)*VLOOKUP(D3909,'报价表-配送'!$B$54:$I$58,4,0)*1000+IF(AND(MOD(H3909,30)&lt;0.5,MOD(H3909,30)&gt;=0.02),H3909,0)*VLOOKUP(D3909,'报价表-配送'!$B$54:$I$58,3,0)*1000+IF(AND(MOD(H3909,30)&lt;0.02),H3909,0)*VLOOKUP(D3909,'报价表-配送'!$B$54:$I$58,2,0)*1000</f>
        <v>0</v>
      </c>
      <c r="N3909" s="127">
        <f t="shared" si="371"/>
        <v>0</v>
      </c>
    </row>
    <row r="3910" spans="1:14" x14ac:dyDescent="0.25">
      <c r="A3910" s="121" t="s">
        <v>105</v>
      </c>
      <c r="B3910" s="121" t="s">
        <v>110</v>
      </c>
      <c r="C3910" s="62">
        <f>VLOOKUP(B3910,合并仓明细!$D$2:$F$74,3,0)</f>
        <v>220</v>
      </c>
      <c r="D3910" s="122" t="s">
        <v>414</v>
      </c>
      <c r="E3910" s="123">
        <v>46090</v>
      </c>
      <c r="F3910" s="121" t="s">
        <v>68</v>
      </c>
      <c r="G3910" s="121">
        <v>1628.8250499999999</v>
      </c>
      <c r="H3910" s="124">
        <v>4.7005283688650001</v>
      </c>
      <c r="I3910" s="46">
        <f>ROUNDUP(H3910/30,0)*VLOOKUP(D3910,'报价表-配送'!$B$54:$I$58,8,0)</f>
        <v>0</v>
      </c>
      <c r="J3910" s="125"/>
      <c r="K3910" s="125"/>
      <c r="L3910" s="121"/>
      <c r="M3910" s="126"/>
      <c r="N3910" s="127">
        <f t="shared" si="371"/>
        <v>0</v>
      </c>
    </row>
    <row r="3911" spans="1:14" x14ac:dyDescent="0.25">
      <c r="A3911" s="121" t="s">
        <v>105</v>
      </c>
      <c r="B3911" s="121" t="s">
        <v>110</v>
      </c>
      <c r="C3911" s="62">
        <f>VLOOKUP(B3911,合并仓明细!$D$2:$F$74,3,0)</f>
        <v>220</v>
      </c>
      <c r="D3911" s="122" t="s">
        <v>414</v>
      </c>
      <c r="E3911" s="123">
        <v>46090</v>
      </c>
      <c r="F3911" s="121" t="s">
        <v>67</v>
      </c>
      <c r="G3911" s="121">
        <v>1753.7328427050002</v>
      </c>
      <c r="H3911" s="124"/>
      <c r="I3911" s="125"/>
      <c r="J3911" s="125"/>
      <c r="K3911" s="125"/>
      <c r="L3911" s="121"/>
      <c r="M3911" s="126"/>
      <c r="N3911" s="121"/>
    </row>
    <row r="3912" spans="1:14" x14ac:dyDescent="0.25">
      <c r="A3912" s="121" t="s">
        <v>105</v>
      </c>
      <c r="B3912" s="121" t="s">
        <v>110</v>
      </c>
      <c r="C3912" s="62">
        <f>VLOOKUP(B3912,合并仓明细!$D$2:$F$74,3,0)</f>
        <v>220</v>
      </c>
      <c r="D3912" s="122" t="s">
        <v>414</v>
      </c>
      <c r="E3912" s="123">
        <v>46090</v>
      </c>
      <c r="F3912" s="121" t="s">
        <v>66</v>
      </c>
      <c r="G3912" s="121">
        <v>1317.9704761599999</v>
      </c>
      <c r="H3912" s="124"/>
      <c r="I3912" s="125"/>
      <c r="J3912" s="125"/>
      <c r="K3912" s="125"/>
      <c r="L3912" s="121"/>
      <c r="M3912" s="126"/>
      <c r="N3912" s="121"/>
    </row>
    <row r="3913" spans="1:14" x14ac:dyDescent="0.25">
      <c r="A3913" s="121" t="s">
        <v>105</v>
      </c>
      <c r="B3913" s="121" t="s">
        <v>110</v>
      </c>
      <c r="C3913" s="62">
        <f>VLOOKUP(B3913,合并仓明细!$D$2:$F$74,3,0)</f>
        <v>220</v>
      </c>
      <c r="D3913" s="122" t="s">
        <v>414</v>
      </c>
      <c r="E3913" s="123">
        <v>46091</v>
      </c>
      <c r="F3913" s="121" t="s">
        <v>66</v>
      </c>
      <c r="G3913" s="121">
        <v>1.5</v>
      </c>
      <c r="H3913" s="124">
        <v>1.5E-3</v>
      </c>
      <c r="I3913" s="125"/>
      <c r="J3913" s="125"/>
      <c r="K3913" s="125"/>
      <c r="L3913" s="37">
        <f>IF(H3913&gt;30,QUOTIENT(H3913,30)*VLOOKUP(D3913,'报价表-配送'!$B$54:$I$58,8,0),0)+IF(AND(MOD(H3913,30)&gt;18,MOD(H3913,30)&lt;=30),1,0)*VLOOKUP(D3913,'报价表-配送'!$B$54:$I$58,8,0)+IF(AND(MOD(H3913,30)&gt;8,MOD(H3913,30)&lt;=18),1*VLOOKUP(D3913,'报价表-配送'!$B$54:$I$58,7,0),0)+IF(AND(MOD(H3913,30)&lt;=8,MOD(H3913,30)&gt;2.5),1,0)*VLOOKUP(D3913,'报价表-配送'!$B$54:$I$58,6,0)+IF(AND(MOD(H3913,30)&lt;=2.5,MOD(H3913,30)&gt;=1.5),1,0)*VLOOKUP(D3913,'报价表-配送'!$B$54:$I$58,5,0)</f>
        <v>0</v>
      </c>
      <c r="M3913" s="39">
        <f>IF(AND(MOD(H3913,30)&lt;1.5,MOD(H3913,30)&gt;=0.5),H3913,0)*VLOOKUP(D3913,'报价表-配送'!$B$54:$I$58,4,0)*1000+IF(AND(MOD(H3913,30)&lt;0.5,MOD(H3913,30)&gt;=0.02),H3913,0)*VLOOKUP(D3913,'报价表-配送'!$B$54:$I$58,3,0)*1000+IF(AND(MOD(H3913,30)&lt;0.02),H3913,0)*VLOOKUP(D3913,'报价表-配送'!$B$54:$I$58,2,0)*1000</f>
        <v>0</v>
      </c>
      <c r="N3913" s="127">
        <f t="shared" ref="N3913:N3915" si="372">SUM(I3913:L3913)</f>
        <v>0</v>
      </c>
    </row>
    <row r="3914" spans="1:14" x14ac:dyDescent="0.25">
      <c r="A3914" s="121" t="s">
        <v>105</v>
      </c>
      <c r="B3914" s="121" t="s">
        <v>110</v>
      </c>
      <c r="C3914" s="62">
        <f>VLOOKUP(B3914,合并仓明细!$D$2:$F$74,3,0)</f>
        <v>220</v>
      </c>
      <c r="D3914" s="122" t="s">
        <v>414</v>
      </c>
      <c r="E3914" s="123">
        <v>46097</v>
      </c>
      <c r="F3914" s="121" t="s">
        <v>67</v>
      </c>
      <c r="G3914" s="121">
        <v>3.838193</v>
      </c>
      <c r="H3914" s="124">
        <v>3.8381930000000002E-3</v>
      </c>
      <c r="I3914" s="38">
        <f>IF(H3914&gt;30,QUOTIENT(H3914,30)*VLOOKUP(D3914,'报价表-配送'!$B$54:$I$58,8,0),0)+IF(AND(MOD(H3914,30)&gt;18,MOD(H3914,30)&lt;=30),1,0)*VLOOKUP(D3914,'报价表-配送'!$B$54:$I$58,8,0)</f>
        <v>0</v>
      </c>
      <c r="J3914" s="38">
        <f>IF(AND(MOD(H3914,30)&gt;8,MOD(H3914,30)&lt;=18),1*VLOOKUP(D3914,'报价表-配送'!$B$54:$I$58,7,0),0)</f>
        <v>0</v>
      </c>
      <c r="K3914" s="38">
        <f>IF(AND(MOD(H3914,30)&lt;=8,MOD(H3914,30)&gt;0),1,0)*VLOOKUP(D3914,'报价表-配送'!$B$54:$I$58,6,0)</f>
        <v>0</v>
      </c>
      <c r="L3914" s="121"/>
      <c r="M3914" s="126"/>
      <c r="N3914" s="127">
        <f t="shared" si="372"/>
        <v>0</v>
      </c>
    </row>
    <row r="3915" spans="1:14" x14ac:dyDescent="0.25">
      <c r="A3915" s="121" t="s">
        <v>105</v>
      </c>
      <c r="B3915" s="121" t="s">
        <v>110</v>
      </c>
      <c r="C3915" s="62">
        <f>VLOOKUP(B3915,合并仓明细!$D$2:$F$74,3,0)</f>
        <v>220</v>
      </c>
      <c r="D3915" s="122" t="s">
        <v>414</v>
      </c>
      <c r="E3915" s="123">
        <v>46101</v>
      </c>
      <c r="F3915" s="121" t="s">
        <v>68</v>
      </c>
      <c r="G3915" s="121">
        <v>9.2722899999999999</v>
      </c>
      <c r="H3915" s="124">
        <v>0.20158377808999997</v>
      </c>
      <c r="I3915" s="46">
        <f>ROUNDUP(H3915/30,0)*VLOOKUP(D3915,'报价表-配送'!$B$54:$I$58,8,0)</f>
        <v>0</v>
      </c>
      <c r="J3915" s="125"/>
      <c r="K3915" s="125"/>
      <c r="L3915" s="121"/>
      <c r="M3915" s="126"/>
      <c r="N3915" s="127">
        <f t="shared" si="372"/>
        <v>0</v>
      </c>
    </row>
    <row r="3916" spans="1:14" x14ac:dyDescent="0.25">
      <c r="A3916" s="121" t="s">
        <v>105</v>
      </c>
      <c r="B3916" s="121" t="s">
        <v>110</v>
      </c>
      <c r="C3916" s="62">
        <f>VLOOKUP(B3916,合并仓明细!$D$2:$F$74,3,0)</f>
        <v>220</v>
      </c>
      <c r="D3916" s="122" t="s">
        <v>414</v>
      </c>
      <c r="E3916" s="123">
        <v>46101</v>
      </c>
      <c r="F3916" s="121" t="s">
        <v>66</v>
      </c>
      <c r="G3916" s="121">
        <v>192.31148808999998</v>
      </c>
      <c r="H3916" s="124"/>
      <c r="I3916" s="125"/>
      <c r="J3916" s="125"/>
      <c r="K3916" s="125"/>
      <c r="L3916" s="121"/>
      <c r="M3916" s="126"/>
      <c r="N3916" s="121"/>
    </row>
    <row r="3917" spans="1:14" x14ac:dyDescent="0.25">
      <c r="A3917" s="121" t="s">
        <v>105</v>
      </c>
      <c r="B3917" s="121" t="s">
        <v>110</v>
      </c>
      <c r="C3917" s="62">
        <f>VLOOKUP(B3917,合并仓明细!$D$2:$F$74,3,0)</f>
        <v>220</v>
      </c>
      <c r="D3917" s="122" t="s">
        <v>414</v>
      </c>
      <c r="E3917" s="123">
        <v>46108</v>
      </c>
      <c r="F3917" s="121" t="s">
        <v>68</v>
      </c>
      <c r="G3917" s="121">
        <v>20.901042</v>
      </c>
      <c r="H3917" s="124">
        <v>0.20595163896999999</v>
      </c>
      <c r="I3917" s="46">
        <f>ROUNDUP(H3917/30,0)*VLOOKUP(D3917,'报价表-配送'!$B$54:$I$58,8,0)</f>
        <v>0</v>
      </c>
      <c r="J3917" s="125"/>
      <c r="K3917" s="125"/>
      <c r="L3917" s="121"/>
      <c r="M3917" s="126"/>
      <c r="N3917" s="127">
        <f t="shared" ref="N3917" si="373">SUM(I3917:L3917)</f>
        <v>0</v>
      </c>
    </row>
    <row r="3918" spans="1:14" x14ac:dyDescent="0.25">
      <c r="A3918" s="121" t="s">
        <v>105</v>
      </c>
      <c r="B3918" s="121" t="s">
        <v>110</v>
      </c>
      <c r="C3918" s="62">
        <f>VLOOKUP(B3918,合并仓明细!$D$2:$F$74,3,0)</f>
        <v>220</v>
      </c>
      <c r="D3918" s="122" t="s">
        <v>414</v>
      </c>
      <c r="E3918" s="123">
        <v>46108</v>
      </c>
      <c r="F3918" s="121" t="s">
        <v>67</v>
      </c>
      <c r="G3918" s="121">
        <v>14.0784</v>
      </c>
      <c r="H3918" s="124"/>
      <c r="I3918" s="125"/>
      <c r="J3918" s="125"/>
      <c r="K3918" s="125"/>
      <c r="L3918" s="121"/>
      <c r="M3918" s="126"/>
      <c r="N3918" s="121"/>
    </row>
    <row r="3919" spans="1:14" x14ac:dyDescent="0.25">
      <c r="A3919" s="121" t="s">
        <v>105</v>
      </c>
      <c r="B3919" s="121" t="s">
        <v>110</v>
      </c>
      <c r="C3919" s="62">
        <f>VLOOKUP(B3919,合并仓明细!$D$2:$F$74,3,0)</f>
        <v>220</v>
      </c>
      <c r="D3919" s="122" t="s">
        <v>414</v>
      </c>
      <c r="E3919" s="123">
        <v>46108</v>
      </c>
      <c r="F3919" s="121" t="s">
        <v>66</v>
      </c>
      <c r="G3919" s="121">
        <v>170.97219696999997</v>
      </c>
      <c r="H3919" s="124"/>
      <c r="I3919" s="125"/>
      <c r="J3919" s="125"/>
      <c r="K3919" s="125"/>
      <c r="L3919" s="121"/>
      <c r="M3919" s="126"/>
      <c r="N3919" s="121"/>
    </row>
    <row r="3920" spans="1:14" x14ac:dyDescent="0.25">
      <c r="A3920" s="121" t="s">
        <v>241</v>
      </c>
      <c r="B3920" s="121" t="s">
        <v>172</v>
      </c>
      <c r="C3920" s="62">
        <f>VLOOKUP(B3920,合并仓明细!$D$2:$F$74,3,0)</f>
        <v>126</v>
      </c>
      <c r="D3920" s="122" t="s">
        <v>413</v>
      </c>
      <c r="E3920" s="123">
        <v>45951</v>
      </c>
      <c r="F3920" s="121" t="s">
        <v>68</v>
      </c>
      <c r="G3920" s="121">
        <v>534.43931999999995</v>
      </c>
      <c r="H3920" s="124">
        <v>2.4543882912899999</v>
      </c>
      <c r="I3920" s="46">
        <f>ROUNDUP(H3920/30,0)*VLOOKUP(D3920,'报价表-配送'!$B$61:$I$65,8,0)</f>
        <v>0</v>
      </c>
      <c r="J3920" s="125"/>
      <c r="K3920" s="125"/>
      <c r="L3920" s="121"/>
      <c r="M3920" s="126"/>
      <c r="N3920" s="127">
        <f t="shared" ref="N3920" si="374">SUM(I3920:L3920)</f>
        <v>0</v>
      </c>
    </row>
    <row r="3921" spans="1:14" x14ac:dyDescent="0.25">
      <c r="A3921" s="121" t="s">
        <v>241</v>
      </c>
      <c r="B3921" s="121" t="s">
        <v>172</v>
      </c>
      <c r="C3921" s="62">
        <f>VLOOKUP(B3921,合并仓明细!$D$2:$F$74,3,0)</f>
        <v>126</v>
      </c>
      <c r="D3921" s="122" t="s">
        <v>413</v>
      </c>
      <c r="E3921" s="123">
        <v>45951</v>
      </c>
      <c r="F3921" s="121" t="s">
        <v>67</v>
      </c>
      <c r="G3921" s="121">
        <v>1535.4068880000002</v>
      </c>
      <c r="H3921" s="124"/>
      <c r="I3921" s="125"/>
      <c r="J3921" s="125"/>
      <c r="K3921" s="125"/>
      <c r="L3921" s="121"/>
      <c r="M3921" s="126"/>
      <c r="N3921" s="121"/>
    </row>
    <row r="3922" spans="1:14" x14ac:dyDescent="0.25">
      <c r="A3922" s="121" t="s">
        <v>241</v>
      </c>
      <c r="B3922" s="121" t="s">
        <v>172</v>
      </c>
      <c r="C3922" s="62">
        <f>VLOOKUP(B3922,合并仓明细!$D$2:$F$74,3,0)</f>
        <v>126</v>
      </c>
      <c r="D3922" s="122" t="s">
        <v>413</v>
      </c>
      <c r="E3922" s="123">
        <v>45951</v>
      </c>
      <c r="F3922" s="121" t="s">
        <v>66</v>
      </c>
      <c r="G3922" s="121">
        <v>384.54208329000005</v>
      </c>
      <c r="H3922" s="124"/>
      <c r="I3922" s="125"/>
      <c r="J3922" s="125"/>
      <c r="K3922" s="125"/>
      <c r="L3922" s="121"/>
      <c r="M3922" s="126"/>
      <c r="N3922" s="121"/>
    </row>
    <row r="3923" spans="1:14" x14ac:dyDescent="0.25">
      <c r="A3923" s="121" t="s">
        <v>241</v>
      </c>
      <c r="B3923" s="121" t="s">
        <v>172</v>
      </c>
      <c r="C3923" s="62">
        <f>VLOOKUP(B3923,合并仓明细!$D$2:$F$74,3,0)</f>
        <v>126</v>
      </c>
      <c r="D3923" s="122" t="s">
        <v>413</v>
      </c>
      <c r="E3923" s="123">
        <v>45957</v>
      </c>
      <c r="F3923" s="121" t="s">
        <v>68</v>
      </c>
      <c r="G3923" s="121">
        <v>2104.6544400000002</v>
      </c>
      <c r="H3923" s="124">
        <v>6.8195517699500003</v>
      </c>
      <c r="I3923" s="46">
        <f>ROUNDUP(H3923/30,0)*VLOOKUP(D3923,'报价表-配送'!$B$61:$I$65,8,0)</f>
        <v>0</v>
      </c>
      <c r="J3923" s="125"/>
      <c r="K3923" s="125"/>
      <c r="L3923" s="121"/>
      <c r="M3923" s="126"/>
      <c r="N3923" s="127">
        <f t="shared" ref="N3923" si="375">SUM(I3923:L3923)</f>
        <v>0</v>
      </c>
    </row>
    <row r="3924" spans="1:14" x14ac:dyDescent="0.25">
      <c r="A3924" s="121" t="s">
        <v>241</v>
      </c>
      <c r="B3924" s="121" t="s">
        <v>172</v>
      </c>
      <c r="C3924" s="62">
        <f>VLOOKUP(B3924,合并仓明细!$D$2:$F$74,3,0)</f>
        <v>126</v>
      </c>
      <c r="D3924" s="122" t="s">
        <v>413</v>
      </c>
      <c r="E3924" s="123">
        <v>45957</v>
      </c>
      <c r="F3924" s="121" t="s">
        <v>67</v>
      </c>
      <c r="G3924" s="121">
        <v>3480.9048300000004</v>
      </c>
      <c r="H3924" s="124"/>
      <c r="I3924" s="125"/>
      <c r="J3924" s="125"/>
      <c r="K3924" s="125"/>
      <c r="L3924" s="121"/>
      <c r="M3924" s="126"/>
      <c r="N3924" s="121"/>
    </row>
    <row r="3925" spans="1:14" x14ac:dyDescent="0.25">
      <c r="A3925" s="121" t="s">
        <v>241</v>
      </c>
      <c r="B3925" s="121" t="s">
        <v>172</v>
      </c>
      <c r="C3925" s="62">
        <f>VLOOKUP(B3925,合并仓明细!$D$2:$F$74,3,0)</f>
        <v>126</v>
      </c>
      <c r="D3925" s="122" t="s">
        <v>413</v>
      </c>
      <c r="E3925" s="123">
        <v>45957</v>
      </c>
      <c r="F3925" s="121" t="s">
        <v>66</v>
      </c>
      <c r="G3925" s="121">
        <v>1233.9924999499999</v>
      </c>
      <c r="H3925" s="124"/>
      <c r="I3925" s="125"/>
      <c r="J3925" s="125"/>
      <c r="K3925" s="125"/>
      <c r="L3925" s="121"/>
      <c r="M3925" s="126"/>
      <c r="N3925" s="121"/>
    </row>
    <row r="3926" spans="1:14" x14ac:dyDescent="0.25">
      <c r="A3926" s="121" t="s">
        <v>241</v>
      </c>
      <c r="B3926" s="121" t="s">
        <v>172</v>
      </c>
      <c r="C3926" s="62">
        <f>VLOOKUP(B3926,合并仓明细!$D$2:$F$74,3,0)</f>
        <v>126</v>
      </c>
      <c r="D3926" s="122" t="s">
        <v>413</v>
      </c>
      <c r="E3926" s="123">
        <v>45966</v>
      </c>
      <c r="F3926" s="121" t="s">
        <v>66</v>
      </c>
      <c r="G3926" s="121">
        <v>223.34499999000002</v>
      </c>
      <c r="H3926" s="124">
        <v>0.22334499999000001</v>
      </c>
      <c r="I3926" s="125"/>
      <c r="J3926" s="125"/>
      <c r="K3926" s="125"/>
      <c r="L3926" s="37">
        <f>IF(H3926&gt;30,QUOTIENT(H3926,30)*VLOOKUP(D3926,'报价表-配送'!$B$61:$I$65,8,0),0)+IF(AND(MOD(H3926,30)&gt;18,MOD(H3926,30)&lt;=30),1,0)*VLOOKUP(D3926,'报价表-配送'!$B$61:$I$65,8,0)+IF(AND(MOD(H3926,30)&gt;8,MOD(H3926,30)&lt;=18),1*VLOOKUP(D3926,'报价表-配送'!$B$61:$I$65,7,0),0)+IF(AND(MOD(H3926,30)&lt;=8,MOD(H3926,30)&gt;2.5),1,0)*VLOOKUP(D3926,'报价表-配送'!$B$61:$I$65,6,0)+IF(AND(MOD(H3926,30)&lt;=2.5,MOD(H3926,30)&gt;=1.5),1,0)*VLOOKUP(D3926,'报价表-配送'!$B$61:$I$65,5,0)</f>
        <v>0</v>
      </c>
      <c r="M3926" s="39">
        <f>IF(AND(MOD(H3926,30)&lt;1.5,MOD(H3926,30)&gt;=0.5),H3926,0)*VLOOKUP(D3926,'报价表-配送'!$B$61:$I$65,4,0)*1000+IF(AND(MOD(H3926,30)&lt;0.5,MOD(H3926,30)&gt;=0.02),H3926,0)*VLOOKUP(D3926,'报价表-配送'!$B$61:$I$65,3,0)*1000+IF(AND(MOD(H3926,30)&lt;0.02),H3926,0)*VLOOKUP(D3926,'报价表-配送'!$B$61:$I$65,2,0)*1000</f>
        <v>0</v>
      </c>
      <c r="N3926" s="127">
        <f t="shared" ref="N3926:N3927" si="376">SUM(I3926:L3926)</f>
        <v>0</v>
      </c>
    </row>
    <row r="3927" spans="1:14" x14ac:dyDescent="0.25">
      <c r="A3927" s="121" t="s">
        <v>241</v>
      </c>
      <c r="B3927" s="121" t="s">
        <v>172</v>
      </c>
      <c r="C3927" s="62">
        <f>VLOOKUP(B3927,合并仓明细!$D$2:$F$74,3,0)</f>
        <v>126</v>
      </c>
      <c r="D3927" s="122" t="s">
        <v>413</v>
      </c>
      <c r="E3927" s="123">
        <v>45975</v>
      </c>
      <c r="F3927" s="121" t="s">
        <v>68</v>
      </c>
      <c r="G3927" s="121">
        <v>633.63599999999997</v>
      </c>
      <c r="H3927" s="124">
        <v>2.78513319235</v>
      </c>
      <c r="I3927" s="46">
        <f>ROUNDUP(H3927/30,0)*VLOOKUP(D3927,'报价表-配送'!$B$61:$I$65,8,0)</f>
        <v>0</v>
      </c>
      <c r="J3927" s="125"/>
      <c r="K3927" s="125"/>
      <c r="L3927" s="121"/>
      <c r="M3927" s="126"/>
      <c r="N3927" s="127">
        <f t="shared" si="376"/>
        <v>0</v>
      </c>
    </row>
    <row r="3928" spans="1:14" x14ac:dyDescent="0.25">
      <c r="A3928" s="121" t="s">
        <v>241</v>
      </c>
      <c r="B3928" s="121" t="s">
        <v>172</v>
      </c>
      <c r="C3928" s="62">
        <f>VLOOKUP(B3928,合并仓明细!$D$2:$F$74,3,0)</f>
        <v>126</v>
      </c>
      <c r="D3928" s="122" t="s">
        <v>413</v>
      </c>
      <c r="E3928" s="123">
        <v>45975</v>
      </c>
      <c r="F3928" s="121" t="s">
        <v>67</v>
      </c>
      <c r="G3928" s="121">
        <v>657.84623999999997</v>
      </c>
      <c r="H3928" s="124"/>
      <c r="I3928" s="125"/>
      <c r="J3928" s="125"/>
      <c r="K3928" s="125"/>
      <c r="L3928" s="121"/>
      <c r="M3928" s="126"/>
      <c r="N3928" s="121"/>
    </row>
    <row r="3929" spans="1:14" x14ac:dyDescent="0.25">
      <c r="A3929" s="121" t="s">
        <v>241</v>
      </c>
      <c r="B3929" s="121" t="s">
        <v>172</v>
      </c>
      <c r="C3929" s="62">
        <f>VLOOKUP(B3929,合并仓明细!$D$2:$F$74,3,0)</f>
        <v>126</v>
      </c>
      <c r="D3929" s="122" t="s">
        <v>413</v>
      </c>
      <c r="E3929" s="123">
        <v>45975</v>
      </c>
      <c r="F3929" s="121" t="s">
        <v>66</v>
      </c>
      <c r="G3929" s="121">
        <v>1493.6509523500001</v>
      </c>
      <c r="H3929" s="124"/>
      <c r="I3929" s="125"/>
      <c r="J3929" s="125"/>
      <c r="K3929" s="125"/>
      <c r="L3929" s="121"/>
      <c r="M3929" s="126"/>
      <c r="N3929" s="121"/>
    </row>
    <row r="3930" spans="1:14" x14ac:dyDescent="0.25">
      <c r="A3930" s="121" t="s">
        <v>241</v>
      </c>
      <c r="B3930" s="121" t="s">
        <v>172</v>
      </c>
      <c r="C3930" s="62">
        <f>VLOOKUP(B3930,合并仓明细!$D$2:$F$74,3,0)</f>
        <v>126</v>
      </c>
      <c r="D3930" s="122" t="s">
        <v>413</v>
      </c>
      <c r="E3930" s="123">
        <v>45995</v>
      </c>
      <c r="F3930" s="121" t="s">
        <v>68</v>
      </c>
      <c r="G3930" s="121">
        <v>2402.9500000000003</v>
      </c>
      <c r="H3930" s="124">
        <v>8.0930412499999989</v>
      </c>
      <c r="I3930" s="46">
        <f>ROUNDUP(H3930/30,0)*VLOOKUP(D3930,'报价表-配送'!$B$61:$I$65,8,0)</f>
        <v>0</v>
      </c>
      <c r="J3930" s="125"/>
      <c r="K3930" s="125"/>
      <c r="L3930" s="121"/>
      <c r="M3930" s="126"/>
      <c r="N3930" s="127">
        <f t="shared" ref="N3930" si="377">SUM(I3930:L3930)</f>
        <v>0</v>
      </c>
    </row>
    <row r="3931" spans="1:14" x14ac:dyDescent="0.25">
      <c r="A3931" s="121" t="s">
        <v>241</v>
      </c>
      <c r="B3931" s="121" t="s">
        <v>172</v>
      </c>
      <c r="C3931" s="62">
        <f>VLOOKUP(B3931,合并仓明细!$D$2:$F$74,3,0)</f>
        <v>126</v>
      </c>
      <c r="D3931" s="122" t="s">
        <v>413</v>
      </c>
      <c r="E3931" s="123">
        <v>45995</v>
      </c>
      <c r="F3931" s="121" t="s">
        <v>67</v>
      </c>
      <c r="G3931" s="121">
        <v>4539.6099999999997</v>
      </c>
      <c r="H3931" s="124"/>
      <c r="I3931" s="125"/>
      <c r="J3931" s="125"/>
      <c r="K3931" s="125"/>
      <c r="L3931" s="121"/>
      <c r="M3931" s="126"/>
      <c r="N3931" s="121"/>
    </row>
    <row r="3932" spans="1:14" x14ac:dyDescent="0.25">
      <c r="A3932" s="121" t="s">
        <v>241</v>
      </c>
      <c r="B3932" s="121" t="s">
        <v>172</v>
      </c>
      <c r="C3932" s="62">
        <f>VLOOKUP(B3932,合并仓明细!$D$2:$F$74,3,0)</f>
        <v>126</v>
      </c>
      <c r="D3932" s="122" t="s">
        <v>413</v>
      </c>
      <c r="E3932" s="123">
        <v>45995</v>
      </c>
      <c r="F3932" s="121" t="s">
        <v>66</v>
      </c>
      <c r="G3932" s="121">
        <v>1150.48125</v>
      </c>
      <c r="H3932" s="124"/>
      <c r="I3932" s="125"/>
      <c r="J3932" s="125"/>
      <c r="K3932" s="125"/>
      <c r="L3932" s="121"/>
      <c r="M3932" s="126"/>
      <c r="N3932" s="121"/>
    </row>
    <row r="3933" spans="1:14" x14ac:dyDescent="0.25">
      <c r="A3933" s="121" t="s">
        <v>241</v>
      </c>
      <c r="B3933" s="121" t="s">
        <v>172</v>
      </c>
      <c r="C3933" s="62">
        <f>VLOOKUP(B3933,合并仓明细!$D$2:$F$74,3,0)</f>
        <v>126</v>
      </c>
      <c r="D3933" s="122" t="s">
        <v>413</v>
      </c>
      <c r="E3933" s="123">
        <v>46002</v>
      </c>
      <c r="F3933" s="121" t="s">
        <v>68</v>
      </c>
      <c r="G3933" s="121">
        <v>63.86</v>
      </c>
      <c r="H3933" s="124">
        <v>1.1292200000000001</v>
      </c>
      <c r="I3933" s="46">
        <f>ROUNDUP(H3933/30,0)*VLOOKUP(D3933,'报价表-配送'!$B$61:$I$65,8,0)</f>
        <v>0</v>
      </c>
      <c r="J3933" s="125"/>
      <c r="K3933" s="125"/>
      <c r="L3933" s="121"/>
      <c r="M3933" s="126"/>
      <c r="N3933" s="127">
        <f t="shared" ref="N3933" si="378">SUM(I3933:L3933)</f>
        <v>0</v>
      </c>
    </row>
    <row r="3934" spans="1:14" x14ac:dyDescent="0.25">
      <c r="A3934" s="121" t="s">
        <v>241</v>
      </c>
      <c r="B3934" s="121" t="s">
        <v>172</v>
      </c>
      <c r="C3934" s="62">
        <f>VLOOKUP(B3934,合并仓明细!$D$2:$F$74,3,0)</f>
        <v>126</v>
      </c>
      <c r="D3934" s="122" t="s">
        <v>413</v>
      </c>
      <c r="E3934" s="123">
        <v>46002</v>
      </c>
      <c r="F3934" s="121" t="s">
        <v>67</v>
      </c>
      <c r="G3934" s="121">
        <v>765.17</v>
      </c>
      <c r="H3934" s="124"/>
      <c r="I3934" s="125"/>
      <c r="J3934" s="125"/>
      <c r="K3934" s="125"/>
      <c r="L3934" s="121"/>
      <c r="M3934" s="126"/>
      <c r="N3934" s="121"/>
    </row>
    <row r="3935" spans="1:14" x14ac:dyDescent="0.25">
      <c r="A3935" s="121" t="s">
        <v>241</v>
      </c>
      <c r="B3935" s="121" t="s">
        <v>172</v>
      </c>
      <c r="C3935" s="62">
        <f>VLOOKUP(B3935,合并仓明细!$D$2:$F$74,3,0)</f>
        <v>126</v>
      </c>
      <c r="D3935" s="122" t="s">
        <v>413</v>
      </c>
      <c r="E3935" s="123">
        <v>46002</v>
      </c>
      <c r="F3935" s="121" t="s">
        <v>66</v>
      </c>
      <c r="G3935" s="121">
        <v>300.19</v>
      </c>
      <c r="H3935" s="124"/>
      <c r="I3935" s="125"/>
      <c r="J3935" s="125"/>
      <c r="K3935" s="125"/>
      <c r="L3935" s="121"/>
      <c r="M3935" s="126"/>
      <c r="N3935" s="121"/>
    </row>
    <row r="3936" spans="1:14" x14ac:dyDescent="0.25">
      <c r="A3936" s="121" t="s">
        <v>241</v>
      </c>
      <c r="B3936" s="121" t="s">
        <v>172</v>
      </c>
      <c r="C3936" s="62">
        <f>VLOOKUP(B3936,合并仓明细!$D$2:$F$74,3,0)</f>
        <v>126</v>
      </c>
      <c r="D3936" s="122" t="s">
        <v>413</v>
      </c>
      <c r="E3936" s="123">
        <v>46007</v>
      </c>
      <c r="F3936" s="121" t="s">
        <v>66</v>
      </c>
      <c r="G3936" s="121">
        <v>110.49124999999999</v>
      </c>
      <c r="H3936" s="124">
        <v>0.11049125</v>
      </c>
      <c r="I3936" s="125"/>
      <c r="J3936" s="125"/>
      <c r="K3936" s="125"/>
      <c r="L3936" s="37">
        <f>IF(H3936&gt;30,QUOTIENT(H3936,30)*VLOOKUP(D3936,'报价表-配送'!$B$61:$I$65,8,0),0)+IF(AND(MOD(H3936,30)&gt;18,MOD(H3936,30)&lt;=30),1,0)*VLOOKUP(D3936,'报价表-配送'!$B$61:$I$65,8,0)+IF(AND(MOD(H3936,30)&gt;8,MOD(H3936,30)&lt;=18),1*VLOOKUP(D3936,'报价表-配送'!$B$61:$I$65,7,0),0)+IF(AND(MOD(H3936,30)&lt;=8,MOD(H3936,30)&gt;2.5),1,0)*VLOOKUP(D3936,'报价表-配送'!$B$61:$I$65,6,0)+IF(AND(MOD(H3936,30)&lt;=2.5,MOD(H3936,30)&gt;=1.5),1,0)*VLOOKUP(D3936,'报价表-配送'!$B$61:$I$65,5,0)</f>
        <v>0</v>
      </c>
      <c r="M3936" s="39">
        <f>IF(AND(MOD(H3936,30)&lt;1.5,MOD(H3936,30)&gt;=0.5),H3936,0)*VLOOKUP(D3936,'报价表-配送'!$B$61:$I$65,4,0)*1000+IF(AND(MOD(H3936,30)&lt;0.5,MOD(H3936,30)&gt;=0.02),H3936,0)*VLOOKUP(D3936,'报价表-配送'!$B$61:$I$65,3,0)*1000+IF(AND(MOD(H3936,30)&lt;0.02),H3936,0)*VLOOKUP(D3936,'报价表-配送'!$B$61:$I$65,2,0)*1000</f>
        <v>0</v>
      </c>
      <c r="N3936" s="127">
        <f t="shared" ref="N3936:N3938" si="379">SUM(I3936:L3936)</f>
        <v>0</v>
      </c>
    </row>
    <row r="3937" spans="1:14" x14ac:dyDescent="0.25">
      <c r="A3937" s="121" t="s">
        <v>241</v>
      </c>
      <c r="B3937" s="121" t="s">
        <v>172</v>
      </c>
      <c r="C3937" s="62">
        <f>VLOOKUP(B3937,合并仓明细!$D$2:$F$74,3,0)</f>
        <v>126</v>
      </c>
      <c r="D3937" s="122" t="s">
        <v>413</v>
      </c>
      <c r="E3937" s="123">
        <v>46030</v>
      </c>
      <c r="F3937" s="121" t="s">
        <v>66</v>
      </c>
      <c r="G3937" s="121">
        <v>272.32499999999999</v>
      </c>
      <c r="H3937" s="124">
        <v>0.27232499999999998</v>
      </c>
      <c r="I3937" s="125"/>
      <c r="J3937" s="125"/>
      <c r="K3937" s="125"/>
      <c r="L3937" s="37">
        <f>IF(H3937&gt;30,QUOTIENT(H3937,30)*VLOOKUP(D3937,'报价表-配送'!$B$61:$I$65,8,0),0)+IF(AND(MOD(H3937,30)&gt;18,MOD(H3937,30)&lt;=30),1,0)*VLOOKUP(D3937,'报价表-配送'!$B$61:$I$65,8,0)+IF(AND(MOD(H3937,30)&gt;8,MOD(H3937,30)&lt;=18),1*VLOOKUP(D3937,'报价表-配送'!$B$61:$I$65,7,0),0)+IF(AND(MOD(H3937,30)&lt;=8,MOD(H3937,30)&gt;2.5),1,0)*VLOOKUP(D3937,'报价表-配送'!$B$61:$I$65,6,0)+IF(AND(MOD(H3937,30)&lt;=2.5,MOD(H3937,30)&gt;=1.5),1,0)*VLOOKUP(D3937,'报价表-配送'!$B$61:$I$65,5,0)</f>
        <v>0</v>
      </c>
      <c r="M3937" s="39">
        <f>IF(AND(MOD(H3937,30)&lt;1.5,MOD(H3937,30)&gt;=0.5),H3937,0)*VLOOKUP(D3937,'报价表-配送'!$B$61:$I$65,4,0)*1000+IF(AND(MOD(H3937,30)&lt;0.5,MOD(H3937,30)&gt;=0.02),H3937,0)*VLOOKUP(D3937,'报价表-配送'!$B$61:$I$65,3,0)*1000+IF(AND(MOD(H3937,30)&lt;0.02),H3937,0)*VLOOKUP(D3937,'报价表-配送'!$B$61:$I$65,2,0)*1000</f>
        <v>0</v>
      </c>
      <c r="N3937" s="127">
        <f t="shared" si="379"/>
        <v>0</v>
      </c>
    </row>
    <row r="3938" spans="1:14" x14ac:dyDescent="0.25">
      <c r="A3938" s="121" t="s">
        <v>241</v>
      </c>
      <c r="B3938" s="121" t="s">
        <v>172</v>
      </c>
      <c r="C3938" s="62">
        <f>VLOOKUP(B3938,合并仓明细!$D$2:$F$74,3,0)</f>
        <v>126</v>
      </c>
      <c r="D3938" s="122" t="s">
        <v>413</v>
      </c>
      <c r="E3938" s="123">
        <v>46048</v>
      </c>
      <c r="F3938" s="121" t="s">
        <v>68</v>
      </c>
      <c r="G3938" s="121">
        <v>419.90300000000002</v>
      </c>
      <c r="H3938" s="124">
        <v>0.53301612666999998</v>
      </c>
      <c r="I3938" s="46">
        <f>ROUNDUP(H3938/30,0)*VLOOKUP(D3938,'报价表-配送'!$B$61:$I$65,8,0)</f>
        <v>0</v>
      </c>
      <c r="J3938" s="125"/>
      <c r="K3938" s="125"/>
      <c r="L3938" s="121"/>
      <c r="M3938" s="126"/>
      <c r="N3938" s="127">
        <f t="shared" si="379"/>
        <v>0</v>
      </c>
    </row>
    <row r="3939" spans="1:14" x14ac:dyDescent="0.25">
      <c r="A3939" s="121" t="s">
        <v>241</v>
      </c>
      <c r="B3939" s="121" t="s">
        <v>172</v>
      </c>
      <c r="C3939" s="62">
        <f>VLOOKUP(B3939,合并仓明细!$D$2:$F$74,3,0)</f>
        <v>126</v>
      </c>
      <c r="D3939" s="122" t="s">
        <v>413</v>
      </c>
      <c r="E3939" s="123">
        <v>46048</v>
      </c>
      <c r="F3939" s="121" t="s">
        <v>67</v>
      </c>
      <c r="G3939" s="121">
        <v>89.27646</v>
      </c>
      <c r="H3939" s="124"/>
      <c r="I3939" s="125"/>
      <c r="J3939" s="125"/>
      <c r="K3939" s="125"/>
      <c r="L3939" s="121"/>
      <c r="M3939" s="126"/>
      <c r="N3939" s="121"/>
    </row>
    <row r="3940" spans="1:14" x14ac:dyDescent="0.25">
      <c r="A3940" s="121" t="s">
        <v>241</v>
      </c>
      <c r="B3940" s="121" t="s">
        <v>172</v>
      </c>
      <c r="C3940" s="62">
        <f>VLOOKUP(B3940,合并仓明细!$D$2:$F$74,3,0)</f>
        <v>126</v>
      </c>
      <c r="D3940" s="122" t="s">
        <v>413</v>
      </c>
      <c r="E3940" s="123">
        <v>46048</v>
      </c>
      <c r="F3940" s="121" t="s">
        <v>66</v>
      </c>
      <c r="G3940" s="121">
        <v>23.83666667</v>
      </c>
      <c r="H3940" s="124"/>
      <c r="I3940" s="125"/>
      <c r="J3940" s="125"/>
      <c r="K3940" s="125"/>
      <c r="L3940" s="121"/>
      <c r="M3940" s="126"/>
      <c r="N3940" s="121"/>
    </row>
    <row r="3941" spans="1:14" x14ac:dyDescent="0.25">
      <c r="A3941" s="121" t="s">
        <v>241</v>
      </c>
      <c r="B3941" s="121" t="s">
        <v>172</v>
      </c>
      <c r="C3941" s="62">
        <f>VLOOKUP(B3941,合并仓明细!$D$2:$F$74,3,0)</f>
        <v>126</v>
      </c>
      <c r="D3941" s="122" t="s">
        <v>413</v>
      </c>
      <c r="E3941" s="123">
        <v>46057</v>
      </c>
      <c r="F3941" s="121" t="s">
        <v>66</v>
      </c>
      <c r="G3941" s="121">
        <v>42.236458329999998</v>
      </c>
      <c r="H3941" s="124">
        <v>4.2236458329999997E-2</v>
      </c>
      <c r="I3941" s="125"/>
      <c r="J3941" s="125"/>
      <c r="K3941" s="125"/>
      <c r="L3941" s="37">
        <f>IF(H3941&gt;30,QUOTIENT(H3941,30)*VLOOKUP(D3941,'报价表-配送'!$B$61:$I$65,8,0),0)+IF(AND(MOD(H3941,30)&gt;18,MOD(H3941,30)&lt;=30),1,0)*VLOOKUP(D3941,'报价表-配送'!$B$61:$I$65,8,0)+IF(AND(MOD(H3941,30)&gt;8,MOD(H3941,30)&lt;=18),1*VLOOKUP(D3941,'报价表-配送'!$B$61:$I$65,7,0),0)+IF(AND(MOD(H3941,30)&lt;=8,MOD(H3941,30)&gt;2.5),1,0)*VLOOKUP(D3941,'报价表-配送'!$B$61:$I$65,6,0)+IF(AND(MOD(H3941,30)&lt;=2.5,MOD(H3941,30)&gt;=1.5),1,0)*VLOOKUP(D3941,'报价表-配送'!$B$61:$I$65,5,0)</f>
        <v>0</v>
      </c>
      <c r="M3941" s="39">
        <f>IF(AND(MOD(H3941,30)&lt;1.5,MOD(H3941,30)&gt;=0.5),H3941,0)*VLOOKUP(D3941,'报价表-配送'!$B$61:$I$65,4,0)*1000+IF(AND(MOD(H3941,30)&lt;0.5,MOD(H3941,30)&gt;=0.02),H3941,0)*VLOOKUP(D3941,'报价表-配送'!$B$61:$I$65,3,0)*1000+IF(AND(MOD(H3941,30)&lt;0.02),H3941,0)*VLOOKUP(D3941,'报价表-配送'!$B$61:$I$65,2,0)*1000</f>
        <v>0</v>
      </c>
      <c r="N3941" s="127">
        <f t="shared" ref="N3941:N3942" si="380">SUM(I3941:L3941)</f>
        <v>0</v>
      </c>
    </row>
    <row r="3942" spans="1:14" x14ac:dyDescent="0.25">
      <c r="A3942" s="121" t="s">
        <v>241</v>
      </c>
      <c r="B3942" s="121" t="s">
        <v>172</v>
      </c>
      <c r="C3942" s="62">
        <f>VLOOKUP(B3942,合并仓明细!$D$2:$F$74,3,0)</f>
        <v>126</v>
      </c>
      <c r="D3942" s="122" t="s">
        <v>413</v>
      </c>
      <c r="E3942" s="123">
        <v>46091</v>
      </c>
      <c r="F3942" s="121" t="s">
        <v>68</v>
      </c>
      <c r="G3942" s="121">
        <v>4290.6332400000001</v>
      </c>
      <c r="H3942" s="124">
        <v>22.184207913409999</v>
      </c>
      <c r="I3942" s="46">
        <f>ROUNDUP(H3942/30,0)*VLOOKUP(D3942,'报价表-配送'!$B$61:$I$65,8,0)</f>
        <v>0</v>
      </c>
      <c r="J3942" s="125"/>
      <c r="K3942" s="125"/>
      <c r="L3942" s="121"/>
      <c r="M3942" s="126"/>
      <c r="N3942" s="127">
        <f t="shared" si="380"/>
        <v>0</v>
      </c>
    </row>
    <row r="3943" spans="1:14" x14ac:dyDescent="0.25">
      <c r="A3943" s="121" t="s">
        <v>241</v>
      </c>
      <c r="B3943" s="121" t="s">
        <v>172</v>
      </c>
      <c r="C3943" s="62">
        <f>VLOOKUP(B3943,合并仓明细!$D$2:$F$74,3,0)</f>
        <v>126</v>
      </c>
      <c r="D3943" s="122" t="s">
        <v>413</v>
      </c>
      <c r="E3943" s="123">
        <v>46091</v>
      </c>
      <c r="F3943" s="121" t="s">
        <v>67</v>
      </c>
      <c r="G3943" s="121">
        <v>16331.279363999996</v>
      </c>
      <c r="H3943" s="124"/>
      <c r="I3943" s="125"/>
      <c r="J3943" s="125"/>
      <c r="K3943" s="125"/>
      <c r="L3943" s="121"/>
      <c r="M3943" s="126"/>
      <c r="N3943" s="121"/>
    </row>
    <row r="3944" spans="1:14" x14ac:dyDescent="0.25">
      <c r="A3944" s="121" t="s">
        <v>241</v>
      </c>
      <c r="B3944" s="121" t="s">
        <v>172</v>
      </c>
      <c r="C3944" s="62">
        <f>VLOOKUP(B3944,合并仓明细!$D$2:$F$74,3,0)</f>
        <v>126</v>
      </c>
      <c r="D3944" s="122" t="s">
        <v>413</v>
      </c>
      <c r="E3944" s="123">
        <v>46091</v>
      </c>
      <c r="F3944" s="121" t="s">
        <v>66</v>
      </c>
      <c r="G3944" s="121">
        <v>1562.2953094100001</v>
      </c>
      <c r="H3944" s="124"/>
      <c r="I3944" s="125"/>
      <c r="J3944" s="125"/>
      <c r="K3944" s="125"/>
      <c r="L3944" s="121"/>
      <c r="M3944" s="126"/>
      <c r="N3944" s="121"/>
    </row>
    <row r="3945" spans="1:14" x14ac:dyDescent="0.25">
      <c r="A3945" s="121" t="s">
        <v>241</v>
      </c>
      <c r="B3945" s="121" t="s">
        <v>172</v>
      </c>
      <c r="C3945" s="62">
        <f>VLOOKUP(B3945,合并仓明细!$D$2:$F$74,3,0)</f>
        <v>126</v>
      </c>
      <c r="D3945" s="122" t="s">
        <v>413</v>
      </c>
      <c r="E3945" s="123">
        <v>46101</v>
      </c>
      <c r="F3945" s="121" t="s">
        <v>66</v>
      </c>
      <c r="G3945" s="121">
        <v>545.26895805999993</v>
      </c>
      <c r="H3945" s="124">
        <v>0.54526895805999998</v>
      </c>
      <c r="I3945" s="125"/>
      <c r="J3945" s="125"/>
      <c r="K3945" s="125"/>
      <c r="L3945" s="37">
        <f>IF(H3945&gt;30,QUOTIENT(H3945,30)*VLOOKUP(D3945,'报价表-配送'!$B$61:$I$65,8,0),0)+IF(AND(MOD(H3945,30)&gt;18,MOD(H3945,30)&lt;=30),1,0)*VLOOKUP(D3945,'报价表-配送'!$B$61:$I$65,8,0)+IF(AND(MOD(H3945,30)&gt;8,MOD(H3945,30)&lt;=18),1*VLOOKUP(D3945,'报价表-配送'!$B$61:$I$65,7,0),0)+IF(AND(MOD(H3945,30)&lt;=8,MOD(H3945,30)&gt;2.5),1,0)*VLOOKUP(D3945,'报价表-配送'!$B$61:$I$65,6,0)+IF(AND(MOD(H3945,30)&lt;=2.5,MOD(H3945,30)&gt;=1.5),1,0)*VLOOKUP(D3945,'报价表-配送'!$B$61:$I$65,5,0)</f>
        <v>0</v>
      </c>
      <c r="M3945" s="39">
        <f>IF(AND(MOD(H3945,30)&lt;1.5,MOD(H3945,30)&gt;=0.5),H3945,0)*VLOOKUP(D3945,'报价表-配送'!$B$61:$I$65,4,0)*1000+IF(AND(MOD(H3945,30)&lt;0.5,MOD(H3945,30)&gt;=0.02),H3945,0)*VLOOKUP(D3945,'报价表-配送'!$B$61:$I$65,3,0)*1000+IF(AND(MOD(H3945,30)&lt;0.02),H3945,0)*VLOOKUP(D3945,'报价表-配送'!$B$61:$I$65,2,0)*1000</f>
        <v>0</v>
      </c>
      <c r="N3945" s="127">
        <f t="shared" ref="N3945:N3946" si="381">SUM(I3945:L3945)</f>
        <v>0</v>
      </c>
    </row>
    <row r="3946" spans="1:14" x14ac:dyDescent="0.25">
      <c r="A3946" s="121" t="s">
        <v>241</v>
      </c>
      <c r="B3946" s="121" t="s">
        <v>172</v>
      </c>
      <c r="C3946" s="62">
        <f>VLOOKUP(B3946,合并仓明细!$D$2:$F$74,3,0)</f>
        <v>126</v>
      </c>
      <c r="D3946" s="122" t="s">
        <v>413</v>
      </c>
      <c r="E3946" s="123">
        <v>46104</v>
      </c>
      <c r="F3946" s="121" t="s">
        <v>68</v>
      </c>
      <c r="G3946" s="121">
        <v>295.68</v>
      </c>
      <c r="H3946" s="124">
        <v>0.63090499999999994</v>
      </c>
      <c r="I3946" s="46">
        <f>ROUNDUP(H3946/30,0)*VLOOKUP(D3946,'报价表-配送'!$B$61:$I$65,8,0)</f>
        <v>0</v>
      </c>
      <c r="J3946" s="125"/>
      <c r="K3946" s="125"/>
      <c r="L3946" s="121"/>
      <c r="M3946" s="126"/>
      <c r="N3946" s="127">
        <f t="shared" si="381"/>
        <v>0</v>
      </c>
    </row>
    <row r="3947" spans="1:14" x14ac:dyDescent="0.25">
      <c r="A3947" s="121" t="s">
        <v>241</v>
      </c>
      <c r="B3947" s="121" t="s">
        <v>172</v>
      </c>
      <c r="C3947" s="62">
        <f>VLOOKUP(B3947,合并仓明细!$D$2:$F$74,3,0)</f>
        <v>126</v>
      </c>
      <c r="D3947" s="122" t="s">
        <v>413</v>
      </c>
      <c r="E3947" s="123">
        <v>46104</v>
      </c>
      <c r="F3947" s="121" t="s">
        <v>67</v>
      </c>
      <c r="G3947" s="121">
        <v>0.60000000000000009</v>
      </c>
      <c r="H3947" s="124"/>
      <c r="I3947" s="125"/>
      <c r="J3947" s="125"/>
      <c r="K3947" s="125"/>
      <c r="L3947" s="121"/>
      <c r="M3947" s="126"/>
      <c r="N3947" s="121"/>
    </row>
    <row r="3948" spans="1:14" x14ac:dyDescent="0.25">
      <c r="A3948" s="121" t="s">
        <v>241</v>
      </c>
      <c r="B3948" s="121" t="s">
        <v>172</v>
      </c>
      <c r="C3948" s="62">
        <f>VLOOKUP(B3948,合并仓明细!$D$2:$F$74,3,0)</f>
        <v>126</v>
      </c>
      <c r="D3948" s="122" t="s">
        <v>413</v>
      </c>
      <c r="E3948" s="123">
        <v>46104</v>
      </c>
      <c r="F3948" s="121" t="s">
        <v>66</v>
      </c>
      <c r="G3948" s="121">
        <v>334.625</v>
      </c>
      <c r="H3948" s="124"/>
      <c r="I3948" s="125"/>
      <c r="J3948" s="125"/>
      <c r="K3948" s="125"/>
      <c r="L3948" s="121"/>
      <c r="M3948" s="126"/>
      <c r="N3948" s="121"/>
    </row>
    <row r="3949" spans="1:14" x14ac:dyDescent="0.25">
      <c r="A3949" s="121" t="s">
        <v>241</v>
      </c>
      <c r="B3949" s="121" t="s">
        <v>173</v>
      </c>
      <c r="C3949" s="62">
        <f>VLOOKUP(B3949,合并仓明细!$D$2:$F$74,3,0)</f>
        <v>163</v>
      </c>
      <c r="D3949" s="122" t="s">
        <v>413</v>
      </c>
      <c r="E3949" s="123">
        <v>45944</v>
      </c>
      <c r="F3949" s="121" t="s">
        <v>68</v>
      </c>
      <c r="G3949" s="121">
        <v>268.20107999999999</v>
      </c>
      <c r="H3949" s="124">
        <v>1.1401635918999997</v>
      </c>
      <c r="I3949" s="46">
        <f>ROUNDUP(H3949/30,0)*VLOOKUP(D3949,'报价表-配送'!$B$61:$I$65,8,0)</f>
        <v>0</v>
      </c>
      <c r="J3949" s="125"/>
      <c r="K3949" s="125"/>
      <c r="L3949" s="121"/>
      <c r="M3949" s="126"/>
      <c r="N3949" s="127">
        <f t="shared" ref="N3949" si="382">SUM(I3949:L3949)</f>
        <v>0</v>
      </c>
    </row>
    <row r="3950" spans="1:14" x14ac:dyDescent="0.25">
      <c r="A3950" s="121" t="s">
        <v>241</v>
      </c>
      <c r="B3950" s="121" t="s">
        <v>173</v>
      </c>
      <c r="C3950" s="62">
        <f>VLOOKUP(B3950,合并仓明细!$D$2:$F$74,3,0)</f>
        <v>163</v>
      </c>
      <c r="D3950" s="122" t="s">
        <v>413</v>
      </c>
      <c r="E3950" s="123">
        <v>45944</v>
      </c>
      <c r="F3950" s="121" t="s">
        <v>66</v>
      </c>
      <c r="G3950" s="121">
        <v>871.96251189999987</v>
      </c>
      <c r="H3950" s="124"/>
      <c r="I3950" s="125"/>
      <c r="J3950" s="125"/>
      <c r="K3950" s="125"/>
      <c r="L3950" s="121"/>
      <c r="M3950" s="126"/>
      <c r="N3950" s="121"/>
    </row>
    <row r="3951" spans="1:14" x14ac:dyDescent="0.25">
      <c r="A3951" s="121" t="s">
        <v>241</v>
      </c>
      <c r="B3951" s="121" t="s">
        <v>173</v>
      </c>
      <c r="C3951" s="62">
        <f>VLOOKUP(B3951,合并仓明细!$D$2:$F$74,3,0)</f>
        <v>163</v>
      </c>
      <c r="D3951" s="122" t="s">
        <v>413</v>
      </c>
      <c r="E3951" s="123">
        <v>45945</v>
      </c>
      <c r="F3951" s="121" t="s">
        <v>67</v>
      </c>
      <c r="G3951" s="121">
        <v>2207.8585619999999</v>
      </c>
      <c r="H3951" s="124">
        <v>2.2078585619999997</v>
      </c>
      <c r="I3951" s="38">
        <f>IF(H3951&gt;30,QUOTIENT(H3951,30)*VLOOKUP(D3951,'报价表-配送'!$B$61:$I$65,8,0),0)+IF(AND(MOD(H3951,30)&gt;18,MOD(H3951,30)&lt;=30),1,0)*VLOOKUP(D3951,'报价表-配送'!$B$61:$I$65,8,0)</f>
        <v>0</v>
      </c>
      <c r="J3951" s="38">
        <f>IF(AND(MOD(H3951,30)&gt;8,MOD(H3951,30)&lt;=18),1*VLOOKUP(D3951,'报价表-配送'!$B$61:$I$65,7,0),0)</f>
        <v>0</v>
      </c>
      <c r="K3951" s="38">
        <f>IF(AND(MOD(H3951,30)&lt;=8,MOD(H3951,30)&gt;0),1,0)*VLOOKUP(D3951,'报价表-配送'!$B$61:$I$65,6,0)</f>
        <v>0</v>
      </c>
      <c r="L3951" s="121"/>
      <c r="M3951" s="126"/>
      <c r="N3951" s="127">
        <f t="shared" ref="N3951:N3952" si="383">SUM(I3951:L3951)</f>
        <v>0</v>
      </c>
    </row>
    <row r="3952" spans="1:14" x14ac:dyDescent="0.25">
      <c r="A3952" s="121" t="s">
        <v>241</v>
      </c>
      <c r="B3952" s="121" t="s">
        <v>173</v>
      </c>
      <c r="C3952" s="62">
        <f>VLOOKUP(B3952,合并仓明细!$D$2:$F$74,3,0)</f>
        <v>163</v>
      </c>
      <c r="D3952" s="122" t="s">
        <v>413</v>
      </c>
      <c r="E3952" s="123">
        <v>45947</v>
      </c>
      <c r="F3952" s="121" t="s">
        <v>68</v>
      </c>
      <c r="G3952" s="121">
        <v>390.74400000000003</v>
      </c>
      <c r="H3952" s="124">
        <v>1.4954185896200001</v>
      </c>
      <c r="I3952" s="46">
        <f>ROUNDUP(H3952/30,0)*VLOOKUP(D3952,'报价表-配送'!$B$61:$I$65,8,0)</f>
        <v>0</v>
      </c>
      <c r="J3952" s="125"/>
      <c r="K3952" s="125"/>
      <c r="L3952" s="121"/>
      <c r="M3952" s="126"/>
      <c r="N3952" s="127">
        <f t="shared" si="383"/>
        <v>0</v>
      </c>
    </row>
    <row r="3953" spans="1:14" x14ac:dyDescent="0.25">
      <c r="A3953" s="121" t="s">
        <v>241</v>
      </c>
      <c r="B3953" s="121" t="s">
        <v>173</v>
      </c>
      <c r="C3953" s="62">
        <f>VLOOKUP(B3953,合并仓明细!$D$2:$F$74,3,0)</f>
        <v>163</v>
      </c>
      <c r="D3953" s="122" t="s">
        <v>413</v>
      </c>
      <c r="E3953" s="123">
        <v>45947</v>
      </c>
      <c r="F3953" s="121" t="s">
        <v>67</v>
      </c>
      <c r="G3953" s="121">
        <v>422.60892299999995</v>
      </c>
      <c r="H3953" s="124"/>
      <c r="I3953" s="125"/>
      <c r="J3953" s="125"/>
      <c r="K3953" s="125"/>
      <c r="L3953" s="121"/>
      <c r="M3953" s="126"/>
      <c r="N3953" s="121"/>
    </row>
    <row r="3954" spans="1:14" x14ac:dyDescent="0.25">
      <c r="A3954" s="121" t="s">
        <v>241</v>
      </c>
      <c r="B3954" s="121" t="s">
        <v>173</v>
      </c>
      <c r="C3954" s="62">
        <f>VLOOKUP(B3954,合并仓明细!$D$2:$F$74,3,0)</f>
        <v>163</v>
      </c>
      <c r="D3954" s="122" t="s">
        <v>413</v>
      </c>
      <c r="E3954" s="123">
        <v>45947</v>
      </c>
      <c r="F3954" s="121" t="s">
        <v>66</v>
      </c>
      <c r="G3954" s="121">
        <v>682.06566662000023</v>
      </c>
      <c r="H3954" s="124"/>
      <c r="I3954" s="125"/>
      <c r="J3954" s="125"/>
      <c r="K3954" s="125"/>
      <c r="L3954" s="121"/>
      <c r="M3954" s="126"/>
      <c r="N3954" s="121"/>
    </row>
    <row r="3955" spans="1:14" x14ac:dyDescent="0.25">
      <c r="A3955" s="121" t="s">
        <v>241</v>
      </c>
      <c r="B3955" s="121" t="s">
        <v>173</v>
      </c>
      <c r="C3955" s="62">
        <f>VLOOKUP(B3955,合并仓明细!$D$2:$F$74,3,0)</f>
        <v>163</v>
      </c>
      <c r="D3955" s="122" t="s">
        <v>413</v>
      </c>
      <c r="E3955" s="123">
        <v>45954</v>
      </c>
      <c r="F3955" s="121" t="s">
        <v>67</v>
      </c>
      <c r="G3955" s="121">
        <v>1224.1745599999999</v>
      </c>
      <c r="H3955" s="124">
        <v>1.7904047223899997</v>
      </c>
      <c r="I3955" s="38">
        <f>IF(H3955&gt;30,QUOTIENT(H3955,30)*VLOOKUP(D3955,'报价表-配送'!$B$61:$I$65,8,0),0)+IF(AND(MOD(H3955,30)&gt;18,MOD(H3955,30)&lt;=30),1,0)*VLOOKUP(D3955,'报价表-配送'!$B$61:$I$65,8,0)</f>
        <v>0</v>
      </c>
      <c r="J3955" s="38">
        <f>IF(AND(MOD(H3955,30)&gt;8,MOD(H3955,30)&lt;=18),1*VLOOKUP(D3955,'报价表-配送'!$B$61:$I$65,7,0),0)</f>
        <v>0</v>
      </c>
      <c r="K3955" s="38">
        <f>IF(AND(MOD(H3955,30)&lt;=8,MOD(H3955,30)&gt;0),1,0)*VLOOKUP(D3955,'报价表-配送'!$B$61:$I$65,6,0)</f>
        <v>0</v>
      </c>
      <c r="L3955" s="121"/>
      <c r="M3955" s="126"/>
      <c r="N3955" s="127">
        <f t="shared" ref="N3955" si="384">SUM(I3955:L3955)</f>
        <v>0</v>
      </c>
    </row>
    <row r="3956" spans="1:14" x14ac:dyDescent="0.25">
      <c r="A3956" s="121" t="s">
        <v>241</v>
      </c>
      <c r="B3956" s="121" t="s">
        <v>173</v>
      </c>
      <c r="C3956" s="62">
        <f>VLOOKUP(B3956,合并仓明细!$D$2:$F$74,3,0)</f>
        <v>163</v>
      </c>
      <c r="D3956" s="122" t="s">
        <v>413</v>
      </c>
      <c r="E3956" s="123">
        <v>45954</v>
      </c>
      <c r="F3956" s="121" t="s">
        <v>66</v>
      </c>
      <c r="G3956" s="121">
        <v>566.23016238999992</v>
      </c>
      <c r="H3956" s="124"/>
      <c r="I3956" s="125"/>
      <c r="J3956" s="125"/>
      <c r="K3956" s="125"/>
      <c r="L3956" s="121"/>
      <c r="M3956" s="126"/>
      <c r="N3956" s="121"/>
    </row>
    <row r="3957" spans="1:14" x14ac:dyDescent="0.25">
      <c r="A3957" s="121" t="s">
        <v>241</v>
      </c>
      <c r="B3957" s="121" t="s">
        <v>173</v>
      </c>
      <c r="C3957" s="62">
        <f>VLOOKUP(B3957,合并仓明细!$D$2:$F$74,3,0)</f>
        <v>163</v>
      </c>
      <c r="D3957" s="122" t="s">
        <v>413</v>
      </c>
      <c r="E3957" s="123">
        <v>45967</v>
      </c>
      <c r="F3957" s="121" t="s">
        <v>68</v>
      </c>
      <c r="G3957" s="121">
        <v>2005.1674800000001</v>
      </c>
      <c r="H3957" s="124">
        <v>3.0815485148300006</v>
      </c>
      <c r="I3957" s="46">
        <f>ROUNDUP(H3957/30,0)*VLOOKUP(D3957,'报价表-配送'!$B$61:$I$65,8,0)</f>
        <v>0</v>
      </c>
      <c r="J3957" s="125"/>
      <c r="K3957" s="125"/>
      <c r="L3957" s="121"/>
      <c r="M3957" s="126"/>
      <c r="N3957" s="127">
        <f t="shared" ref="N3957" si="385">SUM(I3957:L3957)</f>
        <v>0</v>
      </c>
    </row>
    <row r="3958" spans="1:14" x14ac:dyDescent="0.25">
      <c r="A3958" s="121" t="s">
        <v>241</v>
      </c>
      <c r="B3958" s="121" t="s">
        <v>173</v>
      </c>
      <c r="C3958" s="62">
        <f>VLOOKUP(B3958,合并仓明细!$D$2:$F$74,3,0)</f>
        <v>163</v>
      </c>
      <c r="D3958" s="122" t="s">
        <v>413</v>
      </c>
      <c r="E3958" s="123">
        <v>45967</v>
      </c>
      <c r="F3958" s="121" t="s">
        <v>67</v>
      </c>
      <c r="G3958" s="121">
        <v>173.421392</v>
      </c>
      <c r="H3958" s="124"/>
      <c r="I3958" s="125"/>
      <c r="J3958" s="125"/>
      <c r="K3958" s="125"/>
      <c r="L3958" s="121"/>
      <c r="M3958" s="126"/>
      <c r="N3958" s="121"/>
    </row>
    <row r="3959" spans="1:14" x14ac:dyDescent="0.25">
      <c r="A3959" s="121" t="s">
        <v>241</v>
      </c>
      <c r="B3959" s="121" t="s">
        <v>173</v>
      </c>
      <c r="C3959" s="62">
        <f>VLOOKUP(B3959,合并仓明细!$D$2:$F$74,3,0)</f>
        <v>163</v>
      </c>
      <c r="D3959" s="122" t="s">
        <v>413</v>
      </c>
      <c r="E3959" s="123">
        <v>45967</v>
      </c>
      <c r="F3959" s="121" t="s">
        <v>66</v>
      </c>
      <c r="G3959" s="121">
        <v>902.95964283000001</v>
      </c>
      <c r="H3959" s="124"/>
      <c r="I3959" s="125"/>
      <c r="J3959" s="125"/>
      <c r="K3959" s="125"/>
      <c r="L3959" s="121"/>
      <c r="M3959" s="126"/>
      <c r="N3959" s="121"/>
    </row>
    <row r="3960" spans="1:14" x14ac:dyDescent="0.25">
      <c r="A3960" s="121" t="s">
        <v>241</v>
      </c>
      <c r="B3960" s="121" t="s">
        <v>173</v>
      </c>
      <c r="C3960" s="62">
        <f>VLOOKUP(B3960,合并仓明细!$D$2:$F$74,3,0)</f>
        <v>163</v>
      </c>
      <c r="D3960" s="122" t="s">
        <v>413</v>
      </c>
      <c r="E3960" s="123">
        <v>45972</v>
      </c>
      <c r="F3960" s="121" t="s">
        <v>68</v>
      </c>
      <c r="G3960" s="121">
        <v>2593.3869599999998</v>
      </c>
      <c r="H3960" s="124">
        <v>3.8582625451000001</v>
      </c>
      <c r="I3960" s="46">
        <f>ROUNDUP(H3960/30,0)*VLOOKUP(D3960,'报价表-配送'!$B$61:$I$65,8,0)</f>
        <v>0</v>
      </c>
      <c r="J3960" s="125"/>
      <c r="K3960" s="125"/>
      <c r="L3960" s="121"/>
      <c r="M3960" s="126"/>
      <c r="N3960" s="127">
        <f t="shared" ref="N3960" si="386">SUM(I3960:L3960)</f>
        <v>0</v>
      </c>
    </row>
    <row r="3961" spans="1:14" x14ac:dyDescent="0.25">
      <c r="A3961" s="121" t="s">
        <v>241</v>
      </c>
      <c r="B3961" s="121" t="s">
        <v>173</v>
      </c>
      <c r="C3961" s="62">
        <f>VLOOKUP(B3961,合并仓明细!$D$2:$F$74,3,0)</f>
        <v>163</v>
      </c>
      <c r="D3961" s="122" t="s">
        <v>413</v>
      </c>
      <c r="E3961" s="123">
        <v>45972</v>
      </c>
      <c r="F3961" s="121" t="s">
        <v>67</v>
      </c>
      <c r="G3961" s="121">
        <v>778.18597799999998</v>
      </c>
      <c r="H3961" s="124"/>
      <c r="I3961" s="125"/>
      <c r="J3961" s="125"/>
      <c r="K3961" s="125"/>
      <c r="L3961" s="121"/>
      <c r="M3961" s="126"/>
      <c r="N3961" s="121"/>
    </row>
    <row r="3962" spans="1:14" x14ac:dyDescent="0.25">
      <c r="A3962" s="121" t="s">
        <v>241</v>
      </c>
      <c r="B3962" s="121" t="s">
        <v>173</v>
      </c>
      <c r="C3962" s="62">
        <f>VLOOKUP(B3962,合并仓明细!$D$2:$F$74,3,0)</f>
        <v>163</v>
      </c>
      <c r="D3962" s="122" t="s">
        <v>413</v>
      </c>
      <c r="E3962" s="123">
        <v>45972</v>
      </c>
      <c r="F3962" s="121" t="s">
        <v>66</v>
      </c>
      <c r="G3962" s="121">
        <v>486.68960709999999</v>
      </c>
      <c r="H3962" s="124"/>
      <c r="I3962" s="125"/>
      <c r="J3962" s="125"/>
      <c r="K3962" s="125"/>
      <c r="L3962" s="121"/>
      <c r="M3962" s="126"/>
      <c r="N3962" s="121"/>
    </row>
    <row r="3963" spans="1:14" x14ac:dyDescent="0.25">
      <c r="A3963" s="121" t="s">
        <v>241</v>
      </c>
      <c r="B3963" s="121" t="s">
        <v>173</v>
      </c>
      <c r="C3963" s="62">
        <f>VLOOKUP(B3963,合并仓明细!$D$2:$F$74,3,0)</f>
        <v>163</v>
      </c>
      <c r="D3963" s="122" t="s">
        <v>413</v>
      </c>
      <c r="E3963" s="123">
        <v>45975</v>
      </c>
      <c r="F3963" s="121" t="s">
        <v>68</v>
      </c>
      <c r="G3963" s="121">
        <v>567.50627999999995</v>
      </c>
      <c r="H3963" s="124">
        <v>1.53494282333</v>
      </c>
      <c r="I3963" s="46">
        <f>ROUNDUP(H3963/30,0)*VLOOKUP(D3963,'报价表-配送'!$B$61:$I$65,8,0)</f>
        <v>0</v>
      </c>
      <c r="J3963" s="125"/>
      <c r="K3963" s="125"/>
      <c r="L3963" s="121"/>
      <c r="M3963" s="126"/>
      <c r="N3963" s="127">
        <f t="shared" ref="N3963" si="387">SUM(I3963:L3963)</f>
        <v>0</v>
      </c>
    </row>
    <row r="3964" spans="1:14" x14ac:dyDescent="0.25">
      <c r="A3964" s="121" t="s">
        <v>241</v>
      </c>
      <c r="B3964" s="121" t="s">
        <v>173</v>
      </c>
      <c r="C3964" s="62">
        <f>VLOOKUP(B3964,合并仓明细!$D$2:$F$74,3,0)</f>
        <v>163</v>
      </c>
      <c r="D3964" s="122" t="s">
        <v>413</v>
      </c>
      <c r="E3964" s="123">
        <v>45975</v>
      </c>
      <c r="F3964" s="121" t="s">
        <v>67</v>
      </c>
      <c r="G3964" s="121">
        <v>482.30820999999997</v>
      </c>
      <c r="H3964" s="124"/>
      <c r="I3964" s="125"/>
      <c r="J3964" s="125"/>
      <c r="K3964" s="125"/>
      <c r="L3964" s="121"/>
      <c r="M3964" s="126"/>
      <c r="N3964" s="121"/>
    </row>
    <row r="3965" spans="1:14" x14ac:dyDescent="0.25">
      <c r="A3965" s="121" t="s">
        <v>241</v>
      </c>
      <c r="B3965" s="121" t="s">
        <v>173</v>
      </c>
      <c r="C3965" s="62">
        <f>VLOOKUP(B3965,合并仓明细!$D$2:$F$74,3,0)</f>
        <v>163</v>
      </c>
      <c r="D3965" s="122" t="s">
        <v>413</v>
      </c>
      <c r="E3965" s="123">
        <v>45975</v>
      </c>
      <c r="F3965" s="121" t="s">
        <v>66</v>
      </c>
      <c r="G3965" s="121">
        <v>485.12833332999998</v>
      </c>
      <c r="H3965" s="124"/>
      <c r="I3965" s="125"/>
      <c r="J3965" s="125"/>
      <c r="K3965" s="125"/>
      <c r="L3965" s="121"/>
      <c r="M3965" s="126"/>
      <c r="N3965" s="121"/>
    </row>
    <row r="3966" spans="1:14" x14ac:dyDescent="0.25">
      <c r="A3966" s="121" t="s">
        <v>241</v>
      </c>
      <c r="B3966" s="121" t="s">
        <v>173</v>
      </c>
      <c r="C3966" s="62">
        <f>VLOOKUP(B3966,合并仓明细!$D$2:$F$74,3,0)</f>
        <v>163</v>
      </c>
      <c r="D3966" s="122" t="s">
        <v>413</v>
      </c>
      <c r="E3966" s="123">
        <v>45982</v>
      </c>
      <c r="F3966" s="121" t="s">
        <v>68</v>
      </c>
      <c r="G3966" s="121">
        <v>7551.6643199999999</v>
      </c>
      <c r="H3966" s="124">
        <v>21.965092736879996</v>
      </c>
      <c r="I3966" s="46">
        <f>ROUNDUP(H3966/30,0)*VLOOKUP(D3966,'报价表-配送'!$B$61:$I$65,8,0)</f>
        <v>0</v>
      </c>
      <c r="J3966" s="125"/>
      <c r="K3966" s="125"/>
      <c r="L3966" s="121"/>
      <c r="M3966" s="126"/>
      <c r="N3966" s="127">
        <f t="shared" ref="N3966" si="388">SUM(I3966:L3966)</f>
        <v>0</v>
      </c>
    </row>
    <row r="3967" spans="1:14" x14ac:dyDescent="0.25">
      <c r="A3967" s="121" t="s">
        <v>241</v>
      </c>
      <c r="B3967" s="121" t="s">
        <v>173</v>
      </c>
      <c r="C3967" s="62">
        <f>VLOOKUP(B3967,合并仓明细!$D$2:$F$74,3,0)</f>
        <v>163</v>
      </c>
      <c r="D3967" s="122" t="s">
        <v>413</v>
      </c>
      <c r="E3967" s="123">
        <v>45982</v>
      </c>
      <c r="F3967" s="121" t="s">
        <v>67</v>
      </c>
      <c r="G3967" s="121">
        <v>12402.222791999999</v>
      </c>
      <c r="H3967" s="124"/>
      <c r="I3967" s="125"/>
      <c r="J3967" s="125"/>
      <c r="K3967" s="125"/>
      <c r="L3967" s="121"/>
      <c r="M3967" s="126"/>
      <c r="N3967" s="121"/>
    </row>
    <row r="3968" spans="1:14" x14ac:dyDescent="0.25">
      <c r="A3968" s="121" t="s">
        <v>241</v>
      </c>
      <c r="B3968" s="121" t="s">
        <v>173</v>
      </c>
      <c r="C3968" s="62">
        <f>VLOOKUP(B3968,合并仓明细!$D$2:$F$74,3,0)</f>
        <v>163</v>
      </c>
      <c r="D3968" s="122" t="s">
        <v>413</v>
      </c>
      <c r="E3968" s="123">
        <v>45982</v>
      </c>
      <c r="F3968" s="121" t="s">
        <v>66</v>
      </c>
      <c r="G3968" s="121">
        <v>2011.2056248800006</v>
      </c>
      <c r="H3968" s="124"/>
      <c r="I3968" s="125"/>
      <c r="J3968" s="125"/>
      <c r="K3968" s="125"/>
      <c r="L3968" s="121"/>
      <c r="M3968" s="126"/>
      <c r="N3968" s="121"/>
    </row>
    <row r="3969" spans="1:14" x14ac:dyDescent="0.25">
      <c r="A3969" s="121" t="s">
        <v>241</v>
      </c>
      <c r="B3969" s="121" t="s">
        <v>173</v>
      </c>
      <c r="C3969" s="62">
        <f>VLOOKUP(B3969,合并仓明细!$D$2:$F$74,3,0)</f>
        <v>163</v>
      </c>
      <c r="D3969" s="122" t="s">
        <v>413</v>
      </c>
      <c r="E3969" s="123">
        <v>45985</v>
      </c>
      <c r="F3969" s="121" t="s">
        <v>67</v>
      </c>
      <c r="G3969" s="121">
        <v>2639.9152260000001</v>
      </c>
      <c r="H3969" s="124">
        <v>3.8409915593399999</v>
      </c>
      <c r="I3969" s="38">
        <f>IF(H3969&gt;30,QUOTIENT(H3969,30)*VLOOKUP(D3969,'报价表-配送'!$B$61:$I$65,8,0),0)+IF(AND(MOD(H3969,30)&gt;18,MOD(H3969,30)&lt;=30),1,0)*VLOOKUP(D3969,'报价表-配送'!$B$61:$I$65,8,0)</f>
        <v>0</v>
      </c>
      <c r="J3969" s="38">
        <f>IF(AND(MOD(H3969,30)&gt;8,MOD(H3969,30)&lt;=18),1*VLOOKUP(D3969,'报价表-配送'!$B$61:$I$65,7,0),0)</f>
        <v>0</v>
      </c>
      <c r="K3969" s="38">
        <f>IF(AND(MOD(H3969,30)&lt;=8,MOD(H3969,30)&gt;0),1,0)*VLOOKUP(D3969,'报价表-配送'!$B$61:$I$65,6,0)</f>
        <v>0</v>
      </c>
      <c r="L3969" s="121"/>
      <c r="M3969" s="126"/>
      <c r="N3969" s="127">
        <f t="shared" ref="N3969" si="389">SUM(I3969:L3969)</f>
        <v>0</v>
      </c>
    </row>
    <row r="3970" spans="1:14" x14ac:dyDescent="0.25">
      <c r="A3970" s="121" t="s">
        <v>241</v>
      </c>
      <c r="B3970" s="121" t="s">
        <v>173</v>
      </c>
      <c r="C3970" s="62">
        <f>VLOOKUP(B3970,合并仓明细!$D$2:$F$74,3,0)</f>
        <v>163</v>
      </c>
      <c r="D3970" s="122" t="s">
        <v>413</v>
      </c>
      <c r="E3970" s="123">
        <v>45985</v>
      </c>
      <c r="F3970" s="121" t="s">
        <v>66</v>
      </c>
      <c r="G3970" s="121">
        <v>1201.07633334</v>
      </c>
      <c r="H3970" s="124"/>
      <c r="I3970" s="125"/>
      <c r="J3970" s="125"/>
      <c r="K3970" s="125"/>
      <c r="L3970" s="121"/>
      <c r="M3970" s="126"/>
      <c r="N3970" s="121"/>
    </row>
    <row r="3971" spans="1:14" x14ac:dyDescent="0.25">
      <c r="A3971" s="121" t="s">
        <v>241</v>
      </c>
      <c r="B3971" s="121" t="s">
        <v>173</v>
      </c>
      <c r="C3971" s="62">
        <f>VLOOKUP(B3971,合并仓明细!$D$2:$F$74,3,0)</f>
        <v>163</v>
      </c>
      <c r="D3971" s="122" t="s">
        <v>413</v>
      </c>
      <c r="E3971" s="123">
        <v>45994</v>
      </c>
      <c r="F3971" s="121" t="s">
        <v>68</v>
      </c>
      <c r="G3971" s="121">
        <v>267.11999999999995</v>
      </c>
      <c r="H3971" s="124">
        <v>3.9833223214199998</v>
      </c>
      <c r="I3971" s="46">
        <f>ROUNDUP(H3971/30,0)*VLOOKUP(D3971,'报价表-配送'!$B$61:$I$65,8,0)</f>
        <v>0</v>
      </c>
      <c r="J3971" s="125"/>
      <c r="K3971" s="125"/>
      <c r="L3971" s="121"/>
      <c r="M3971" s="126"/>
      <c r="N3971" s="127">
        <f t="shared" ref="N3971" si="390">SUM(I3971:L3971)</f>
        <v>0</v>
      </c>
    </row>
    <row r="3972" spans="1:14" x14ac:dyDescent="0.25">
      <c r="A3972" s="121" t="s">
        <v>241</v>
      </c>
      <c r="B3972" s="121" t="s">
        <v>173</v>
      </c>
      <c r="C3972" s="62">
        <f>VLOOKUP(B3972,合并仓明细!$D$2:$F$74,3,0)</f>
        <v>163</v>
      </c>
      <c r="D3972" s="122" t="s">
        <v>413</v>
      </c>
      <c r="E3972" s="123">
        <v>45994</v>
      </c>
      <c r="F3972" s="121" t="s">
        <v>67</v>
      </c>
      <c r="G3972" s="121">
        <v>2164.5</v>
      </c>
      <c r="H3972" s="124"/>
      <c r="I3972" s="125"/>
      <c r="J3972" s="125"/>
      <c r="K3972" s="125"/>
      <c r="L3972" s="121"/>
      <c r="M3972" s="126"/>
      <c r="N3972" s="121"/>
    </row>
    <row r="3973" spans="1:14" x14ac:dyDescent="0.25">
      <c r="A3973" s="121" t="s">
        <v>241</v>
      </c>
      <c r="B3973" s="121" t="s">
        <v>173</v>
      </c>
      <c r="C3973" s="62">
        <f>VLOOKUP(B3973,合并仓明细!$D$2:$F$74,3,0)</f>
        <v>163</v>
      </c>
      <c r="D3973" s="122" t="s">
        <v>413</v>
      </c>
      <c r="E3973" s="123">
        <v>45994</v>
      </c>
      <c r="F3973" s="121" t="s">
        <v>66</v>
      </c>
      <c r="G3973" s="121">
        <v>1551.7023214200001</v>
      </c>
      <c r="H3973" s="124"/>
      <c r="I3973" s="125"/>
      <c r="J3973" s="125"/>
      <c r="K3973" s="125"/>
      <c r="L3973" s="121"/>
      <c r="M3973" s="126"/>
      <c r="N3973" s="121"/>
    </row>
    <row r="3974" spans="1:14" x14ac:dyDescent="0.25">
      <c r="A3974" s="121" t="s">
        <v>241</v>
      </c>
      <c r="B3974" s="121" t="s">
        <v>173</v>
      </c>
      <c r="C3974" s="62">
        <f>VLOOKUP(B3974,合并仓明细!$D$2:$F$74,3,0)</f>
        <v>163</v>
      </c>
      <c r="D3974" s="122" t="s">
        <v>413</v>
      </c>
      <c r="E3974" s="123">
        <v>45995</v>
      </c>
      <c r="F3974" s="121" t="s">
        <v>68</v>
      </c>
      <c r="G3974" s="121">
        <v>1796.32</v>
      </c>
      <c r="H3974" s="124">
        <v>2.2447374999999998</v>
      </c>
      <c r="I3974" s="46">
        <f>ROUNDUP(H3974/30,0)*VLOOKUP(D3974,'报价表-配送'!$B$61:$I$65,8,0)</f>
        <v>0</v>
      </c>
      <c r="J3974" s="125"/>
      <c r="K3974" s="125"/>
      <c r="L3974" s="121"/>
      <c r="M3974" s="126"/>
      <c r="N3974" s="127">
        <f t="shared" ref="N3974" si="391">SUM(I3974:L3974)</f>
        <v>0</v>
      </c>
    </row>
    <row r="3975" spans="1:14" x14ac:dyDescent="0.25">
      <c r="A3975" s="121" t="s">
        <v>241</v>
      </c>
      <c r="B3975" s="121" t="s">
        <v>173</v>
      </c>
      <c r="C3975" s="62">
        <f>VLOOKUP(B3975,合并仓明细!$D$2:$F$74,3,0)</f>
        <v>163</v>
      </c>
      <c r="D3975" s="122" t="s">
        <v>413</v>
      </c>
      <c r="E3975" s="123">
        <v>45995</v>
      </c>
      <c r="F3975" s="121" t="s">
        <v>66</v>
      </c>
      <c r="G3975" s="121">
        <v>448.41749999999996</v>
      </c>
      <c r="H3975" s="124"/>
      <c r="I3975" s="125"/>
      <c r="J3975" s="125"/>
      <c r="K3975" s="125"/>
      <c r="L3975" s="121"/>
      <c r="M3975" s="126"/>
      <c r="N3975" s="121"/>
    </row>
    <row r="3976" spans="1:14" x14ac:dyDescent="0.25">
      <c r="A3976" s="121" t="s">
        <v>241</v>
      </c>
      <c r="B3976" s="121" t="s">
        <v>173</v>
      </c>
      <c r="C3976" s="62">
        <f>VLOOKUP(B3976,合并仓明细!$D$2:$F$74,3,0)</f>
        <v>163</v>
      </c>
      <c r="D3976" s="122" t="s">
        <v>413</v>
      </c>
      <c r="E3976" s="123">
        <v>46000</v>
      </c>
      <c r="F3976" s="121" t="s">
        <v>68</v>
      </c>
      <c r="G3976" s="121">
        <v>1101.8699999999999</v>
      </c>
      <c r="H3976" s="124">
        <v>1.1709699999999998</v>
      </c>
      <c r="I3976" s="46">
        <f>ROUNDUP(H3976/30,0)*VLOOKUP(D3976,'报价表-配送'!$B$61:$I$65,8,0)</f>
        <v>0</v>
      </c>
      <c r="J3976" s="125"/>
      <c r="K3976" s="125"/>
      <c r="L3976" s="121"/>
      <c r="M3976" s="126"/>
      <c r="N3976" s="127">
        <f t="shared" ref="N3976" si="392">SUM(I3976:L3976)</f>
        <v>0</v>
      </c>
    </row>
    <row r="3977" spans="1:14" x14ac:dyDescent="0.25">
      <c r="A3977" s="121" t="s">
        <v>241</v>
      </c>
      <c r="B3977" s="121" t="s">
        <v>173</v>
      </c>
      <c r="C3977" s="62">
        <f>VLOOKUP(B3977,合并仓明细!$D$2:$F$74,3,0)</f>
        <v>163</v>
      </c>
      <c r="D3977" s="122" t="s">
        <v>413</v>
      </c>
      <c r="E3977" s="123">
        <v>46000</v>
      </c>
      <c r="F3977" s="121" t="s">
        <v>66</v>
      </c>
      <c r="G3977" s="121">
        <v>69.099999999999994</v>
      </c>
      <c r="H3977" s="124"/>
      <c r="I3977" s="125"/>
      <c r="J3977" s="125"/>
      <c r="K3977" s="125"/>
      <c r="L3977" s="121"/>
      <c r="M3977" s="126"/>
      <c r="N3977" s="121"/>
    </row>
    <row r="3978" spans="1:14" x14ac:dyDescent="0.25">
      <c r="A3978" s="121" t="s">
        <v>241</v>
      </c>
      <c r="B3978" s="121" t="s">
        <v>173</v>
      </c>
      <c r="C3978" s="62">
        <f>VLOOKUP(B3978,合并仓明细!$D$2:$F$74,3,0)</f>
        <v>163</v>
      </c>
      <c r="D3978" s="122" t="s">
        <v>413</v>
      </c>
      <c r="E3978" s="123">
        <v>46002</v>
      </c>
      <c r="F3978" s="121" t="s">
        <v>68</v>
      </c>
      <c r="G3978" s="121">
        <v>232.03</v>
      </c>
      <c r="H3978" s="124">
        <v>0.823347571</v>
      </c>
      <c r="I3978" s="46">
        <f>ROUNDUP(H3978/30,0)*VLOOKUP(D3978,'报价表-配送'!$B$61:$I$65,8,0)</f>
        <v>0</v>
      </c>
      <c r="J3978" s="125"/>
      <c r="K3978" s="125"/>
      <c r="L3978" s="121"/>
      <c r="M3978" s="126"/>
      <c r="N3978" s="127">
        <f t="shared" ref="N3978" si="393">SUM(I3978:L3978)</f>
        <v>0</v>
      </c>
    </row>
    <row r="3979" spans="1:14" x14ac:dyDescent="0.25">
      <c r="A3979" s="121" t="s">
        <v>241</v>
      </c>
      <c r="B3979" s="121" t="s">
        <v>173</v>
      </c>
      <c r="C3979" s="62">
        <f>VLOOKUP(B3979,合并仓明细!$D$2:$F$74,3,0)</f>
        <v>163</v>
      </c>
      <c r="D3979" s="122" t="s">
        <v>413</v>
      </c>
      <c r="E3979" s="123">
        <v>46002</v>
      </c>
      <c r="F3979" s="121" t="s">
        <v>67</v>
      </c>
      <c r="G3979" s="121">
        <v>283.40944599999995</v>
      </c>
      <c r="H3979" s="124"/>
      <c r="I3979" s="125"/>
      <c r="J3979" s="125"/>
      <c r="K3979" s="125"/>
      <c r="L3979" s="121"/>
      <c r="M3979" s="126"/>
      <c r="N3979" s="121"/>
    </row>
    <row r="3980" spans="1:14" x14ac:dyDescent="0.25">
      <c r="A3980" s="121" t="s">
        <v>241</v>
      </c>
      <c r="B3980" s="121" t="s">
        <v>173</v>
      </c>
      <c r="C3980" s="62">
        <f>VLOOKUP(B3980,合并仓明细!$D$2:$F$74,3,0)</f>
        <v>163</v>
      </c>
      <c r="D3980" s="122" t="s">
        <v>413</v>
      </c>
      <c r="E3980" s="123">
        <v>46002</v>
      </c>
      <c r="F3980" s="121" t="s">
        <v>66</v>
      </c>
      <c r="G3980" s="121">
        <v>307.90812499999998</v>
      </c>
      <c r="H3980" s="124"/>
      <c r="I3980" s="125"/>
      <c r="J3980" s="125"/>
      <c r="K3980" s="125"/>
      <c r="L3980" s="121"/>
      <c r="M3980" s="126"/>
      <c r="N3980" s="121"/>
    </row>
    <row r="3981" spans="1:14" x14ac:dyDescent="0.25">
      <c r="A3981" s="121" t="s">
        <v>241</v>
      </c>
      <c r="B3981" s="121" t="s">
        <v>173</v>
      </c>
      <c r="C3981" s="62">
        <f>VLOOKUP(B3981,合并仓明细!$D$2:$F$74,3,0)</f>
        <v>163</v>
      </c>
      <c r="D3981" s="122" t="s">
        <v>413</v>
      </c>
      <c r="E3981" s="123">
        <v>46009</v>
      </c>
      <c r="F3981" s="121" t="s">
        <v>68</v>
      </c>
      <c r="G3981" s="121">
        <v>51.09</v>
      </c>
      <c r="H3981" s="124">
        <v>4.5525094719999997</v>
      </c>
      <c r="I3981" s="46">
        <f>ROUNDUP(H3981/30,0)*VLOOKUP(D3981,'报价表-配送'!$B$61:$I$65,8,0)</f>
        <v>0</v>
      </c>
      <c r="J3981" s="125"/>
      <c r="K3981" s="125"/>
      <c r="L3981" s="121"/>
      <c r="M3981" s="126"/>
      <c r="N3981" s="127">
        <f t="shared" ref="N3981" si="394">SUM(I3981:L3981)</f>
        <v>0</v>
      </c>
    </row>
    <row r="3982" spans="1:14" x14ac:dyDescent="0.25">
      <c r="A3982" s="121" t="s">
        <v>241</v>
      </c>
      <c r="B3982" s="121" t="s">
        <v>173</v>
      </c>
      <c r="C3982" s="62">
        <f>VLOOKUP(B3982,合并仓明细!$D$2:$F$74,3,0)</f>
        <v>163</v>
      </c>
      <c r="D3982" s="122" t="s">
        <v>413</v>
      </c>
      <c r="E3982" s="123">
        <v>46009</v>
      </c>
      <c r="F3982" s="121" t="s">
        <v>67</v>
      </c>
      <c r="G3982" s="121">
        <v>4235.769472</v>
      </c>
      <c r="H3982" s="124"/>
      <c r="I3982" s="125"/>
      <c r="J3982" s="125"/>
      <c r="K3982" s="125"/>
      <c r="L3982" s="121"/>
      <c r="M3982" s="126"/>
      <c r="N3982" s="121"/>
    </row>
    <row r="3983" spans="1:14" x14ac:dyDescent="0.25">
      <c r="A3983" s="121" t="s">
        <v>241</v>
      </c>
      <c r="B3983" s="121" t="s">
        <v>173</v>
      </c>
      <c r="C3983" s="62">
        <f>VLOOKUP(B3983,合并仓明细!$D$2:$F$74,3,0)</f>
        <v>163</v>
      </c>
      <c r="D3983" s="122" t="s">
        <v>413</v>
      </c>
      <c r="E3983" s="123">
        <v>46009</v>
      </c>
      <c r="F3983" s="121" t="s">
        <v>66</v>
      </c>
      <c r="G3983" s="121">
        <v>265.64999999999998</v>
      </c>
      <c r="H3983" s="124"/>
      <c r="I3983" s="125"/>
      <c r="J3983" s="125"/>
      <c r="K3983" s="125"/>
      <c r="L3983" s="121"/>
      <c r="M3983" s="126"/>
      <c r="N3983" s="121"/>
    </row>
    <row r="3984" spans="1:14" x14ac:dyDescent="0.25">
      <c r="A3984" s="121" t="s">
        <v>241</v>
      </c>
      <c r="B3984" s="121" t="s">
        <v>173</v>
      </c>
      <c r="C3984" s="62">
        <f>VLOOKUP(B3984,合并仓明细!$D$2:$F$74,3,0)</f>
        <v>163</v>
      </c>
      <c r="D3984" s="122" t="s">
        <v>413</v>
      </c>
      <c r="E3984" s="123">
        <v>46013</v>
      </c>
      <c r="F3984" s="121" t="s">
        <v>67</v>
      </c>
      <c r="G3984" s="121">
        <v>2988.1400000000003</v>
      </c>
      <c r="H3984" s="124">
        <v>3.1760800000000002</v>
      </c>
      <c r="I3984" s="38">
        <f>IF(H3984&gt;30,QUOTIENT(H3984,30)*VLOOKUP(D3984,'报价表-配送'!$B$61:$I$65,8,0),0)+IF(AND(MOD(H3984,30)&gt;18,MOD(H3984,30)&lt;=30),1,0)*VLOOKUP(D3984,'报价表-配送'!$B$61:$I$65,8,0)</f>
        <v>0</v>
      </c>
      <c r="J3984" s="38">
        <f>IF(AND(MOD(H3984,30)&gt;8,MOD(H3984,30)&lt;=18),1*VLOOKUP(D3984,'报价表-配送'!$B$61:$I$65,7,0),0)</f>
        <v>0</v>
      </c>
      <c r="K3984" s="38">
        <f>IF(AND(MOD(H3984,30)&lt;=8,MOD(H3984,30)&gt;0),1,0)*VLOOKUP(D3984,'报价表-配送'!$B$61:$I$65,6,0)</f>
        <v>0</v>
      </c>
      <c r="L3984" s="121"/>
      <c r="M3984" s="126"/>
      <c r="N3984" s="127">
        <f t="shared" ref="N3984" si="395">SUM(I3984:L3984)</f>
        <v>0</v>
      </c>
    </row>
    <row r="3985" spans="1:14" x14ac:dyDescent="0.25">
      <c r="A3985" s="121" t="s">
        <v>241</v>
      </c>
      <c r="B3985" s="121" t="s">
        <v>173</v>
      </c>
      <c r="C3985" s="62">
        <f>VLOOKUP(B3985,合并仓明细!$D$2:$F$74,3,0)</f>
        <v>163</v>
      </c>
      <c r="D3985" s="122" t="s">
        <v>413</v>
      </c>
      <c r="E3985" s="123">
        <v>46013</v>
      </c>
      <c r="F3985" s="121" t="s">
        <v>66</v>
      </c>
      <c r="G3985" s="121">
        <v>187.94</v>
      </c>
      <c r="H3985" s="124"/>
      <c r="I3985" s="125"/>
      <c r="J3985" s="125"/>
      <c r="K3985" s="125"/>
      <c r="L3985" s="121"/>
      <c r="M3985" s="126"/>
      <c r="N3985" s="121"/>
    </row>
    <row r="3986" spans="1:14" x14ac:dyDescent="0.25">
      <c r="A3986" s="121" t="s">
        <v>241</v>
      </c>
      <c r="B3986" s="121" t="s">
        <v>173</v>
      </c>
      <c r="C3986" s="62">
        <f>VLOOKUP(B3986,合并仓明细!$D$2:$F$74,3,0)</f>
        <v>163</v>
      </c>
      <c r="D3986" s="122" t="s">
        <v>413</v>
      </c>
      <c r="E3986" s="123">
        <v>46015</v>
      </c>
      <c r="F3986" s="121" t="s">
        <v>68</v>
      </c>
      <c r="G3986" s="121">
        <v>391.98999999999995</v>
      </c>
      <c r="H3986" s="124">
        <v>3.4913778199999999</v>
      </c>
      <c r="I3986" s="46">
        <f>ROUNDUP(H3986/30,0)*VLOOKUP(D3986,'报价表-配送'!$B$61:$I$65,8,0)</f>
        <v>0</v>
      </c>
      <c r="J3986" s="125"/>
      <c r="K3986" s="125"/>
      <c r="L3986" s="121"/>
      <c r="M3986" s="126"/>
      <c r="N3986" s="127">
        <f t="shared" ref="N3986" si="396">SUM(I3986:L3986)</f>
        <v>0</v>
      </c>
    </row>
    <row r="3987" spans="1:14" x14ac:dyDescent="0.25">
      <c r="A3987" s="121" t="s">
        <v>241</v>
      </c>
      <c r="B3987" s="121" t="s">
        <v>173</v>
      </c>
      <c r="C3987" s="62">
        <f>VLOOKUP(B3987,合并仓明细!$D$2:$F$74,3,0)</f>
        <v>163</v>
      </c>
      <c r="D3987" s="122" t="s">
        <v>413</v>
      </c>
      <c r="E3987" s="123">
        <v>46015</v>
      </c>
      <c r="F3987" s="121" t="s">
        <v>67</v>
      </c>
      <c r="G3987" s="121">
        <v>2944.3628199999998</v>
      </c>
      <c r="H3987" s="124"/>
      <c r="I3987" s="125"/>
      <c r="J3987" s="125"/>
      <c r="K3987" s="125"/>
      <c r="L3987" s="121"/>
      <c r="M3987" s="126"/>
      <c r="N3987" s="121"/>
    </row>
    <row r="3988" spans="1:14" x14ac:dyDescent="0.25">
      <c r="A3988" s="121" t="s">
        <v>241</v>
      </c>
      <c r="B3988" s="121" t="s">
        <v>173</v>
      </c>
      <c r="C3988" s="62">
        <f>VLOOKUP(B3988,合并仓明细!$D$2:$F$74,3,0)</f>
        <v>163</v>
      </c>
      <c r="D3988" s="122" t="s">
        <v>413</v>
      </c>
      <c r="E3988" s="123">
        <v>46015</v>
      </c>
      <c r="F3988" s="121" t="s">
        <v>66</v>
      </c>
      <c r="G3988" s="121">
        <v>155.02499999999998</v>
      </c>
      <c r="H3988" s="124"/>
      <c r="I3988" s="125"/>
      <c r="J3988" s="125"/>
      <c r="K3988" s="125"/>
      <c r="L3988" s="121"/>
      <c r="M3988" s="126"/>
      <c r="N3988" s="121"/>
    </row>
    <row r="3989" spans="1:14" x14ac:dyDescent="0.25">
      <c r="A3989" s="121" t="s">
        <v>241</v>
      </c>
      <c r="B3989" s="121" t="s">
        <v>173</v>
      </c>
      <c r="C3989" s="62">
        <f>VLOOKUP(B3989,合并仓明细!$D$2:$F$74,3,0)</f>
        <v>163</v>
      </c>
      <c r="D3989" s="122" t="s">
        <v>413</v>
      </c>
      <c r="E3989" s="123">
        <v>46036</v>
      </c>
      <c r="F3989" s="121" t="s">
        <v>68</v>
      </c>
      <c r="G3989" s="121">
        <v>764.29823999999996</v>
      </c>
      <c r="H3989" s="124">
        <v>3.53563617404</v>
      </c>
      <c r="I3989" s="46">
        <f>ROUNDUP(H3989/30,0)*VLOOKUP(D3989,'报价表-配送'!$B$61:$I$65,8,0)</f>
        <v>0</v>
      </c>
      <c r="J3989" s="125"/>
      <c r="K3989" s="125"/>
      <c r="L3989" s="121"/>
      <c r="M3989" s="126"/>
      <c r="N3989" s="127">
        <f t="shared" ref="N3989" si="397">SUM(I3989:L3989)</f>
        <v>0</v>
      </c>
    </row>
    <row r="3990" spans="1:14" x14ac:dyDescent="0.25">
      <c r="A3990" s="121" t="s">
        <v>241</v>
      </c>
      <c r="B3990" s="121" t="s">
        <v>173</v>
      </c>
      <c r="C3990" s="62">
        <f>VLOOKUP(B3990,合并仓明细!$D$2:$F$74,3,0)</f>
        <v>163</v>
      </c>
      <c r="D3990" s="122" t="s">
        <v>413</v>
      </c>
      <c r="E3990" s="123">
        <v>46036</v>
      </c>
      <c r="F3990" s="121" t="s">
        <v>67</v>
      </c>
      <c r="G3990" s="121">
        <v>1824.1862080000001</v>
      </c>
      <c r="H3990" s="124"/>
      <c r="I3990" s="125"/>
      <c r="J3990" s="125"/>
      <c r="K3990" s="125"/>
      <c r="L3990" s="121"/>
      <c r="M3990" s="126"/>
      <c r="N3990" s="121"/>
    </row>
    <row r="3991" spans="1:14" x14ac:dyDescent="0.25">
      <c r="A3991" s="121" t="s">
        <v>241</v>
      </c>
      <c r="B3991" s="121" t="s">
        <v>173</v>
      </c>
      <c r="C3991" s="62">
        <f>VLOOKUP(B3991,合并仓明细!$D$2:$F$74,3,0)</f>
        <v>163</v>
      </c>
      <c r="D3991" s="122" t="s">
        <v>413</v>
      </c>
      <c r="E3991" s="123">
        <v>46036</v>
      </c>
      <c r="F3991" s="121" t="s">
        <v>66</v>
      </c>
      <c r="G3991" s="121">
        <v>947.15172603999986</v>
      </c>
      <c r="H3991" s="124"/>
      <c r="I3991" s="125"/>
      <c r="J3991" s="125"/>
      <c r="K3991" s="125"/>
      <c r="L3991" s="121"/>
      <c r="M3991" s="126"/>
      <c r="N3991" s="121"/>
    </row>
    <row r="3992" spans="1:14" x14ac:dyDescent="0.25">
      <c r="A3992" s="121" t="s">
        <v>241</v>
      </c>
      <c r="B3992" s="121" t="s">
        <v>173</v>
      </c>
      <c r="C3992" s="62">
        <f>VLOOKUP(B3992,合并仓明细!$D$2:$F$74,3,0)</f>
        <v>163</v>
      </c>
      <c r="D3992" s="122" t="s">
        <v>413</v>
      </c>
      <c r="E3992" s="123">
        <v>46043</v>
      </c>
      <c r="F3992" s="121" t="s">
        <v>66</v>
      </c>
      <c r="G3992" s="121">
        <v>156</v>
      </c>
      <c r="H3992" s="124">
        <v>0.156</v>
      </c>
      <c r="I3992" s="125"/>
      <c r="J3992" s="125"/>
      <c r="K3992" s="125"/>
      <c r="L3992" s="37">
        <f>IF(H3992&gt;30,QUOTIENT(H3992,30)*VLOOKUP(D3992,'报价表-配送'!$B$61:$I$65,8,0),0)+IF(AND(MOD(H3992,30)&gt;18,MOD(H3992,30)&lt;=30),1,0)*VLOOKUP(D3992,'报价表-配送'!$B$61:$I$65,8,0)+IF(AND(MOD(H3992,30)&gt;8,MOD(H3992,30)&lt;=18),1*VLOOKUP(D3992,'报价表-配送'!$B$61:$I$65,7,0),0)+IF(AND(MOD(H3992,30)&lt;=8,MOD(H3992,30)&gt;2.5),1,0)*VLOOKUP(D3992,'报价表-配送'!$B$61:$I$65,6,0)+IF(AND(MOD(H3992,30)&lt;=2.5,MOD(H3992,30)&gt;=1.5),1,0)*VLOOKUP(D3992,'报价表-配送'!$B$61:$I$65,5,0)</f>
        <v>0</v>
      </c>
      <c r="M3992" s="39">
        <f>IF(AND(MOD(H3992,30)&lt;1.5,MOD(H3992,30)&gt;=0.5),H3992,0)*VLOOKUP(D3992,'报价表-配送'!$B$61:$I$65,4,0)*1000+IF(AND(MOD(H3992,30)&lt;0.5,MOD(H3992,30)&gt;=0.02),H3992,0)*VLOOKUP(D3992,'报价表-配送'!$B$61:$I$65,3,0)*1000+IF(AND(MOD(H3992,30)&lt;0.02),H3992,0)*VLOOKUP(D3992,'报价表-配送'!$B$61:$I$65,2,0)*1000</f>
        <v>0</v>
      </c>
      <c r="N3992" s="127">
        <f t="shared" ref="N3992:N3993" si="398">SUM(I3992:L3992)</f>
        <v>0</v>
      </c>
    </row>
    <row r="3993" spans="1:14" x14ac:dyDescent="0.25">
      <c r="A3993" s="121" t="s">
        <v>241</v>
      </c>
      <c r="B3993" s="121" t="s">
        <v>173</v>
      </c>
      <c r="C3993" s="62">
        <f>VLOOKUP(B3993,合并仓明细!$D$2:$F$74,3,0)</f>
        <v>163</v>
      </c>
      <c r="D3993" s="122" t="s">
        <v>413</v>
      </c>
      <c r="E3993" s="123">
        <v>46044</v>
      </c>
      <c r="F3993" s="121" t="s">
        <v>68</v>
      </c>
      <c r="G3993" s="121">
        <v>3187.7462400000004</v>
      </c>
      <c r="H3993" s="124">
        <v>10.594660473290002</v>
      </c>
      <c r="I3993" s="46">
        <f>ROUNDUP(H3993/30,0)*VLOOKUP(D3993,'报价表-配送'!$B$61:$I$65,8,0)</f>
        <v>0</v>
      </c>
      <c r="J3993" s="125"/>
      <c r="K3993" s="125"/>
      <c r="L3993" s="121"/>
      <c r="M3993" s="126"/>
      <c r="N3993" s="127">
        <f t="shared" si="398"/>
        <v>0</v>
      </c>
    </row>
    <row r="3994" spans="1:14" x14ac:dyDescent="0.25">
      <c r="A3994" s="121" t="s">
        <v>241</v>
      </c>
      <c r="B3994" s="121" t="s">
        <v>173</v>
      </c>
      <c r="C3994" s="62">
        <f>VLOOKUP(B3994,合并仓明细!$D$2:$F$74,3,0)</f>
        <v>163</v>
      </c>
      <c r="D3994" s="122" t="s">
        <v>413</v>
      </c>
      <c r="E3994" s="123">
        <v>46044</v>
      </c>
      <c r="F3994" s="121" t="s">
        <v>67</v>
      </c>
      <c r="G3994" s="121">
        <v>5314.5934002000004</v>
      </c>
      <c r="H3994" s="124"/>
      <c r="I3994" s="125"/>
      <c r="J3994" s="125"/>
      <c r="K3994" s="125"/>
      <c r="L3994" s="121"/>
      <c r="M3994" s="126"/>
      <c r="N3994" s="121"/>
    </row>
    <row r="3995" spans="1:14" x14ac:dyDescent="0.25">
      <c r="A3995" s="121" t="s">
        <v>241</v>
      </c>
      <c r="B3995" s="121" t="s">
        <v>173</v>
      </c>
      <c r="C3995" s="62">
        <f>VLOOKUP(B3995,合并仓明细!$D$2:$F$74,3,0)</f>
        <v>163</v>
      </c>
      <c r="D3995" s="122" t="s">
        <v>413</v>
      </c>
      <c r="E3995" s="123">
        <v>46044</v>
      </c>
      <c r="F3995" s="121" t="s">
        <v>66</v>
      </c>
      <c r="G3995" s="121">
        <v>2092.3208330900006</v>
      </c>
      <c r="H3995" s="124"/>
      <c r="I3995" s="125"/>
      <c r="J3995" s="125"/>
      <c r="K3995" s="125"/>
      <c r="L3995" s="121"/>
      <c r="M3995" s="126"/>
      <c r="N3995" s="121"/>
    </row>
    <row r="3996" spans="1:14" x14ac:dyDescent="0.25">
      <c r="A3996" s="121" t="s">
        <v>241</v>
      </c>
      <c r="B3996" s="121" t="s">
        <v>173</v>
      </c>
      <c r="C3996" s="62">
        <f>VLOOKUP(B3996,合并仓明细!$D$2:$F$74,3,0)</f>
        <v>163</v>
      </c>
      <c r="D3996" s="122" t="s">
        <v>413</v>
      </c>
      <c r="E3996" s="123">
        <v>46058</v>
      </c>
      <c r="F3996" s="121" t="s">
        <v>68</v>
      </c>
      <c r="G3996" s="121">
        <v>397.93043999999998</v>
      </c>
      <c r="H3996" s="124">
        <v>7.5098080667999989</v>
      </c>
      <c r="I3996" s="46">
        <f>ROUNDUP(H3996/30,0)*VLOOKUP(D3996,'报价表-配送'!$B$61:$I$65,8,0)</f>
        <v>0</v>
      </c>
      <c r="J3996" s="125"/>
      <c r="K3996" s="125"/>
      <c r="L3996" s="121"/>
      <c r="M3996" s="126"/>
      <c r="N3996" s="127">
        <f t="shared" ref="N3996" si="399">SUM(I3996:L3996)</f>
        <v>0</v>
      </c>
    </row>
    <row r="3997" spans="1:14" x14ac:dyDescent="0.25">
      <c r="A3997" s="121" t="s">
        <v>241</v>
      </c>
      <c r="B3997" s="121" t="s">
        <v>173</v>
      </c>
      <c r="C3997" s="62">
        <f>VLOOKUP(B3997,合并仓明细!$D$2:$F$74,3,0)</f>
        <v>163</v>
      </c>
      <c r="D3997" s="122" t="s">
        <v>413</v>
      </c>
      <c r="E3997" s="123">
        <v>46058</v>
      </c>
      <c r="F3997" s="121" t="s">
        <v>67</v>
      </c>
      <c r="G3997" s="121">
        <v>5350.6029840000001</v>
      </c>
      <c r="H3997" s="124"/>
      <c r="I3997" s="125"/>
      <c r="J3997" s="125"/>
      <c r="K3997" s="125"/>
      <c r="L3997" s="121"/>
      <c r="M3997" s="126"/>
      <c r="N3997" s="121"/>
    </row>
    <row r="3998" spans="1:14" x14ac:dyDescent="0.25">
      <c r="A3998" s="121" t="s">
        <v>241</v>
      </c>
      <c r="B3998" s="121" t="s">
        <v>173</v>
      </c>
      <c r="C3998" s="62">
        <f>VLOOKUP(B3998,合并仓明细!$D$2:$F$74,3,0)</f>
        <v>163</v>
      </c>
      <c r="D3998" s="122" t="s">
        <v>413</v>
      </c>
      <c r="E3998" s="123">
        <v>46058</v>
      </c>
      <c r="F3998" s="121" t="s">
        <v>66</v>
      </c>
      <c r="G3998" s="121">
        <v>1761.2746427999994</v>
      </c>
      <c r="H3998" s="124"/>
      <c r="I3998" s="125"/>
      <c r="J3998" s="125"/>
      <c r="K3998" s="125"/>
      <c r="L3998" s="121"/>
      <c r="M3998" s="126"/>
      <c r="N3998" s="121"/>
    </row>
    <row r="3999" spans="1:14" x14ac:dyDescent="0.25">
      <c r="A3999" s="121" t="s">
        <v>241</v>
      </c>
      <c r="B3999" s="121" t="s">
        <v>173</v>
      </c>
      <c r="C3999" s="62">
        <f>VLOOKUP(B3999,合并仓明细!$D$2:$F$74,3,0)</f>
        <v>163</v>
      </c>
      <c r="D3999" s="122" t="s">
        <v>413</v>
      </c>
      <c r="E3999" s="123">
        <v>46085</v>
      </c>
      <c r="F3999" s="121" t="s">
        <v>68</v>
      </c>
      <c r="G3999" s="121">
        <v>38.314439999999998</v>
      </c>
      <c r="H3999" s="124">
        <v>1.68972232</v>
      </c>
      <c r="I3999" s="46">
        <f>ROUNDUP(H3999/30,0)*VLOOKUP(D3999,'报价表-配送'!$B$61:$I$65,8,0)</f>
        <v>0</v>
      </c>
      <c r="J3999" s="125"/>
      <c r="K3999" s="125"/>
      <c r="L3999" s="121"/>
      <c r="M3999" s="126"/>
      <c r="N3999" s="127">
        <f t="shared" ref="N3999" si="400">SUM(I3999:L3999)</f>
        <v>0</v>
      </c>
    </row>
    <row r="4000" spans="1:14" x14ac:dyDescent="0.25">
      <c r="A4000" s="121" t="s">
        <v>241</v>
      </c>
      <c r="B4000" s="121" t="s">
        <v>173</v>
      </c>
      <c r="C4000" s="62">
        <f>VLOOKUP(B4000,合并仓明细!$D$2:$F$74,3,0)</f>
        <v>163</v>
      </c>
      <c r="D4000" s="122" t="s">
        <v>413</v>
      </c>
      <c r="E4000" s="123">
        <v>46085</v>
      </c>
      <c r="F4000" s="121" t="s">
        <v>67</v>
      </c>
      <c r="G4000" s="121">
        <v>1590.4878799999999</v>
      </c>
      <c r="H4000" s="124"/>
      <c r="I4000" s="125"/>
      <c r="J4000" s="125"/>
      <c r="K4000" s="125"/>
      <c r="L4000" s="121"/>
      <c r="M4000" s="126"/>
      <c r="N4000" s="121"/>
    </row>
    <row r="4001" spans="1:14" x14ac:dyDescent="0.25">
      <c r="A4001" s="121" t="s">
        <v>241</v>
      </c>
      <c r="B4001" s="121" t="s">
        <v>173</v>
      </c>
      <c r="C4001" s="62">
        <f>VLOOKUP(B4001,合并仓明细!$D$2:$F$74,3,0)</f>
        <v>163</v>
      </c>
      <c r="D4001" s="122" t="s">
        <v>413</v>
      </c>
      <c r="E4001" s="123">
        <v>46085</v>
      </c>
      <c r="F4001" s="121" t="s">
        <v>66</v>
      </c>
      <c r="G4001" s="121">
        <v>60.92</v>
      </c>
      <c r="H4001" s="124"/>
      <c r="I4001" s="125"/>
      <c r="J4001" s="125"/>
      <c r="K4001" s="125"/>
      <c r="L4001" s="121"/>
      <c r="M4001" s="126"/>
      <c r="N4001" s="121"/>
    </row>
    <row r="4002" spans="1:14" x14ac:dyDescent="0.25">
      <c r="A4002" s="121" t="s">
        <v>241</v>
      </c>
      <c r="B4002" s="121" t="s">
        <v>173</v>
      </c>
      <c r="C4002" s="62">
        <f>VLOOKUP(B4002,合并仓明细!$D$2:$F$74,3,0)</f>
        <v>163</v>
      </c>
      <c r="D4002" s="122" t="s">
        <v>413</v>
      </c>
      <c r="E4002" s="123">
        <v>46086</v>
      </c>
      <c r="F4002" s="121" t="s">
        <v>66</v>
      </c>
      <c r="G4002" s="121">
        <v>793.125</v>
      </c>
      <c r="H4002" s="124">
        <v>0.79312499999999997</v>
      </c>
      <c r="I4002" s="125"/>
      <c r="J4002" s="125"/>
      <c r="K4002" s="125"/>
      <c r="L4002" s="37">
        <f>IF(H4002&gt;30,QUOTIENT(H4002,30)*VLOOKUP(D4002,'报价表-配送'!$B$61:$I$65,8,0),0)+IF(AND(MOD(H4002,30)&gt;18,MOD(H4002,30)&lt;=30),1,0)*VLOOKUP(D4002,'报价表-配送'!$B$61:$I$65,8,0)+IF(AND(MOD(H4002,30)&gt;8,MOD(H4002,30)&lt;=18),1*VLOOKUP(D4002,'报价表-配送'!$B$61:$I$65,7,0),0)+IF(AND(MOD(H4002,30)&lt;=8,MOD(H4002,30)&gt;2.5),1,0)*VLOOKUP(D4002,'报价表-配送'!$B$61:$I$65,6,0)+IF(AND(MOD(H4002,30)&lt;=2.5,MOD(H4002,30)&gt;=1.5),1,0)*VLOOKUP(D4002,'报价表-配送'!$B$61:$I$65,5,0)</f>
        <v>0</v>
      </c>
      <c r="M4002" s="39">
        <f>IF(AND(MOD(H4002,30)&lt;1.5,MOD(H4002,30)&gt;=0.5),H4002,0)*VLOOKUP(D4002,'报价表-配送'!$B$61:$I$65,4,0)*1000+IF(AND(MOD(H4002,30)&lt;0.5,MOD(H4002,30)&gt;=0.02),H4002,0)*VLOOKUP(D4002,'报价表-配送'!$B$61:$I$65,3,0)*1000+IF(AND(MOD(H4002,30)&lt;0.02),H4002,0)*VLOOKUP(D4002,'报价表-配送'!$B$61:$I$65,2,0)*1000</f>
        <v>0</v>
      </c>
      <c r="N4002" s="127">
        <f t="shared" ref="N4002:N4003" si="401">SUM(I4002:L4002)</f>
        <v>0</v>
      </c>
    </row>
    <row r="4003" spans="1:14" x14ac:dyDescent="0.25">
      <c r="A4003" s="121" t="s">
        <v>241</v>
      </c>
      <c r="B4003" s="121" t="s">
        <v>173</v>
      </c>
      <c r="C4003" s="62">
        <f>VLOOKUP(B4003,合并仓明细!$D$2:$F$74,3,0)</f>
        <v>163</v>
      </c>
      <c r="D4003" s="122" t="s">
        <v>413</v>
      </c>
      <c r="E4003" s="123">
        <v>46087</v>
      </c>
      <c r="F4003" s="121" t="s">
        <v>67</v>
      </c>
      <c r="G4003" s="121">
        <v>64.077696000000003</v>
      </c>
      <c r="H4003" s="124">
        <v>0.18576436265000001</v>
      </c>
      <c r="I4003" s="38">
        <f>IF(H4003&gt;30,QUOTIENT(H4003,30)*VLOOKUP(D4003,'报价表-配送'!$B$61:$I$65,8,0),0)+IF(AND(MOD(H4003,30)&gt;18,MOD(H4003,30)&lt;=30),1,0)*VLOOKUP(D4003,'报价表-配送'!$B$61:$I$65,8,0)</f>
        <v>0</v>
      </c>
      <c r="J4003" s="38">
        <f>IF(AND(MOD(H4003,30)&gt;8,MOD(H4003,30)&lt;=18),1*VLOOKUP(D4003,'报价表-配送'!$B$61:$I$65,7,0),0)</f>
        <v>0</v>
      </c>
      <c r="K4003" s="38">
        <f>IF(AND(MOD(H4003,30)&lt;=8,MOD(H4003,30)&gt;0),1,0)*VLOOKUP(D4003,'报价表-配送'!$B$61:$I$65,6,0)</f>
        <v>0</v>
      </c>
      <c r="L4003" s="121"/>
      <c r="M4003" s="126"/>
      <c r="N4003" s="127">
        <f t="shared" si="401"/>
        <v>0</v>
      </c>
    </row>
    <row r="4004" spans="1:14" x14ac:dyDescent="0.25">
      <c r="A4004" s="121" t="s">
        <v>241</v>
      </c>
      <c r="B4004" s="121" t="s">
        <v>173</v>
      </c>
      <c r="C4004" s="62">
        <f>VLOOKUP(B4004,合并仓明细!$D$2:$F$74,3,0)</f>
        <v>163</v>
      </c>
      <c r="D4004" s="122" t="s">
        <v>413</v>
      </c>
      <c r="E4004" s="123">
        <v>46087</v>
      </c>
      <c r="F4004" s="121" t="s">
        <v>66</v>
      </c>
      <c r="G4004" s="121">
        <v>121.68666665000001</v>
      </c>
      <c r="H4004" s="124"/>
      <c r="I4004" s="125"/>
      <c r="J4004" s="125"/>
      <c r="K4004" s="125"/>
      <c r="L4004" s="121"/>
      <c r="M4004" s="126"/>
      <c r="N4004" s="121"/>
    </row>
    <row r="4005" spans="1:14" x14ac:dyDescent="0.25">
      <c r="A4005" s="121" t="s">
        <v>241</v>
      </c>
      <c r="B4005" s="121" t="s">
        <v>173</v>
      </c>
      <c r="C4005" s="62">
        <f>VLOOKUP(B4005,合并仓明细!$D$2:$F$74,3,0)</f>
        <v>163</v>
      </c>
      <c r="D4005" s="122" t="s">
        <v>413</v>
      </c>
      <c r="E4005" s="123">
        <v>46092</v>
      </c>
      <c r="F4005" s="121" t="s">
        <v>68</v>
      </c>
      <c r="G4005" s="121">
        <v>9545.1280800000004</v>
      </c>
      <c r="H4005" s="124">
        <v>10.59611808</v>
      </c>
      <c r="I4005" s="46">
        <f>ROUNDUP(H4005/30,0)*VLOOKUP(D4005,'报价表-配送'!$B$61:$I$65,8,0)</f>
        <v>0</v>
      </c>
      <c r="J4005" s="125"/>
      <c r="K4005" s="125"/>
      <c r="L4005" s="121"/>
      <c r="M4005" s="126"/>
      <c r="N4005" s="127">
        <f t="shared" ref="N4005" si="402">SUM(I4005:L4005)</f>
        <v>0</v>
      </c>
    </row>
    <row r="4006" spans="1:14" x14ac:dyDescent="0.25">
      <c r="A4006" s="121" t="s">
        <v>241</v>
      </c>
      <c r="B4006" s="121" t="s">
        <v>173</v>
      </c>
      <c r="C4006" s="62">
        <f>VLOOKUP(B4006,合并仓明细!$D$2:$F$74,3,0)</f>
        <v>163</v>
      </c>
      <c r="D4006" s="122" t="s">
        <v>413</v>
      </c>
      <c r="E4006" s="123">
        <v>46092</v>
      </c>
      <c r="F4006" s="121" t="s">
        <v>66</v>
      </c>
      <c r="G4006" s="121">
        <v>1050.99</v>
      </c>
      <c r="H4006" s="124"/>
      <c r="I4006" s="125"/>
      <c r="J4006" s="125"/>
      <c r="K4006" s="125"/>
      <c r="L4006" s="121"/>
      <c r="M4006" s="126"/>
      <c r="N4006" s="121"/>
    </row>
    <row r="4007" spans="1:14" x14ac:dyDescent="0.25">
      <c r="A4007" s="121" t="s">
        <v>241</v>
      </c>
      <c r="B4007" s="121" t="s">
        <v>173</v>
      </c>
      <c r="C4007" s="62">
        <f>VLOOKUP(B4007,合并仓明细!$D$2:$F$74,3,0)</f>
        <v>163</v>
      </c>
      <c r="D4007" s="122" t="s">
        <v>413</v>
      </c>
      <c r="E4007" s="123">
        <v>46093</v>
      </c>
      <c r="F4007" s="121" t="s">
        <v>66</v>
      </c>
      <c r="G4007" s="121">
        <v>648</v>
      </c>
      <c r="H4007" s="124">
        <v>0.64800000000000002</v>
      </c>
      <c r="I4007" s="125"/>
      <c r="J4007" s="125"/>
      <c r="K4007" s="125"/>
      <c r="L4007" s="37">
        <f>IF(H4007&gt;30,QUOTIENT(H4007,30)*VLOOKUP(D4007,'报价表-配送'!$B$61:$I$65,8,0),0)+IF(AND(MOD(H4007,30)&gt;18,MOD(H4007,30)&lt;=30),1,0)*VLOOKUP(D4007,'报价表-配送'!$B$61:$I$65,8,0)+IF(AND(MOD(H4007,30)&gt;8,MOD(H4007,30)&lt;=18),1*VLOOKUP(D4007,'报价表-配送'!$B$61:$I$65,7,0),0)+IF(AND(MOD(H4007,30)&lt;=8,MOD(H4007,30)&gt;2.5),1,0)*VLOOKUP(D4007,'报价表-配送'!$B$61:$I$65,6,0)+IF(AND(MOD(H4007,30)&lt;=2.5,MOD(H4007,30)&gt;=1.5),1,0)*VLOOKUP(D4007,'报价表-配送'!$B$61:$I$65,5,0)</f>
        <v>0</v>
      </c>
      <c r="M4007" s="39">
        <f>IF(AND(MOD(H4007,30)&lt;1.5,MOD(H4007,30)&gt;=0.5),H4007,0)*VLOOKUP(D4007,'报价表-配送'!$B$61:$I$65,4,0)*1000+IF(AND(MOD(H4007,30)&lt;0.5,MOD(H4007,30)&gt;=0.02),H4007,0)*VLOOKUP(D4007,'报价表-配送'!$B$61:$I$65,3,0)*1000+IF(AND(MOD(H4007,30)&lt;0.02),H4007,0)*VLOOKUP(D4007,'报价表-配送'!$B$61:$I$65,2,0)*1000</f>
        <v>0</v>
      </c>
      <c r="N4007" s="127">
        <f t="shared" ref="N4007:N4008" si="403">SUM(I4007:L4007)</f>
        <v>0</v>
      </c>
    </row>
    <row r="4008" spans="1:14" x14ac:dyDescent="0.25">
      <c r="A4008" s="121" t="s">
        <v>241</v>
      </c>
      <c r="B4008" s="121" t="s">
        <v>173</v>
      </c>
      <c r="C4008" s="62">
        <f>VLOOKUP(B4008,合并仓明细!$D$2:$F$74,3,0)</f>
        <v>163</v>
      </c>
      <c r="D4008" s="122" t="s">
        <v>413</v>
      </c>
      <c r="E4008" s="123">
        <v>46097</v>
      </c>
      <c r="F4008" s="121" t="s">
        <v>68</v>
      </c>
      <c r="G4008" s="121">
        <v>109.44</v>
      </c>
      <c r="H4008" s="124">
        <v>7.2832974453499997</v>
      </c>
      <c r="I4008" s="46">
        <f>ROUNDUP(H4008/30,0)*VLOOKUP(D4008,'报价表-配送'!$B$61:$I$65,8,0)</f>
        <v>0</v>
      </c>
      <c r="J4008" s="125"/>
      <c r="K4008" s="125"/>
      <c r="L4008" s="121"/>
      <c r="M4008" s="126"/>
      <c r="N4008" s="127">
        <f t="shared" si="403"/>
        <v>0</v>
      </c>
    </row>
    <row r="4009" spans="1:14" x14ac:dyDescent="0.25">
      <c r="A4009" s="121" t="s">
        <v>241</v>
      </c>
      <c r="B4009" s="121" t="s">
        <v>173</v>
      </c>
      <c r="C4009" s="62">
        <f>VLOOKUP(B4009,合并仓明细!$D$2:$F$74,3,0)</f>
        <v>163</v>
      </c>
      <c r="D4009" s="122" t="s">
        <v>413</v>
      </c>
      <c r="E4009" s="123">
        <v>46097</v>
      </c>
      <c r="F4009" s="121" t="s">
        <v>67</v>
      </c>
      <c r="G4009" s="121">
        <v>6603.0741120000002</v>
      </c>
      <c r="H4009" s="124"/>
      <c r="I4009" s="125"/>
      <c r="J4009" s="125"/>
      <c r="K4009" s="125"/>
      <c r="L4009" s="121"/>
      <c r="M4009" s="126"/>
      <c r="N4009" s="121"/>
    </row>
    <row r="4010" spans="1:14" x14ac:dyDescent="0.25">
      <c r="A4010" s="121" t="s">
        <v>241</v>
      </c>
      <c r="B4010" s="121" t="s">
        <v>173</v>
      </c>
      <c r="C4010" s="62">
        <f>VLOOKUP(B4010,合并仓明细!$D$2:$F$74,3,0)</f>
        <v>163</v>
      </c>
      <c r="D4010" s="122" t="s">
        <v>413</v>
      </c>
      <c r="E4010" s="123">
        <v>46097</v>
      </c>
      <c r="F4010" s="121" t="s">
        <v>66</v>
      </c>
      <c r="G4010" s="121">
        <v>570.78333335000002</v>
      </c>
      <c r="H4010" s="124"/>
      <c r="I4010" s="125"/>
      <c r="J4010" s="125"/>
      <c r="K4010" s="125"/>
      <c r="L4010" s="121"/>
      <c r="M4010" s="126"/>
      <c r="N4010" s="121"/>
    </row>
    <row r="4011" spans="1:14" x14ac:dyDescent="0.25">
      <c r="A4011" s="121" t="s">
        <v>241</v>
      </c>
      <c r="B4011" s="121" t="s">
        <v>173</v>
      </c>
      <c r="C4011" s="62">
        <f>VLOOKUP(B4011,合并仓明细!$D$2:$F$74,3,0)</f>
        <v>163</v>
      </c>
      <c r="D4011" s="122" t="s">
        <v>413</v>
      </c>
      <c r="E4011" s="123">
        <v>46100</v>
      </c>
      <c r="F4011" s="121" t="s">
        <v>68</v>
      </c>
      <c r="G4011" s="121">
        <v>663.78</v>
      </c>
      <c r="H4011" s="124">
        <v>0.75561</v>
      </c>
      <c r="I4011" s="46">
        <f>ROUNDUP(H4011/30,0)*VLOOKUP(D4011,'报价表-配送'!$B$61:$I$65,8,0)</f>
        <v>0</v>
      </c>
      <c r="J4011" s="125"/>
      <c r="K4011" s="125"/>
      <c r="L4011" s="121"/>
      <c r="M4011" s="126"/>
      <c r="N4011" s="127">
        <f t="shared" ref="N4011" si="404">SUM(I4011:L4011)</f>
        <v>0</v>
      </c>
    </row>
    <row r="4012" spans="1:14" x14ac:dyDescent="0.25">
      <c r="A4012" s="121" t="s">
        <v>241</v>
      </c>
      <c r="B4012" s="121" t="s">
        <v>173</v>
      </c>
      <c r="C4012" s="62">
        <f>VLOOKUP(B4012,合并仓明细!$D$2:$F$74,3,0)</f>
        <v>163</v>
      </c>
      <c r="D4012" s="122" t="s">
        <v>413</v>
      </c>
      <c r="E4012" s="123">
        <v>46100</v>
      </c>
      <c r="F4012" s="121" t="s">
        <v>66</v>
      </c>
      <c r="G4012" s="121">
        <v>91.83</v>
      </c>
      <c r="H4012" s="124"/>
      <c r="I4012" s="125"/>
      <c r="J4012" s="125"/>
      <c r="K4012" s="125"/>
      <c r="L4012" s="121"/>
      <c r="M4012" s="126"/>
      <c r="N4012" s="121"/>
    </row>
    <row r="4013" spans="1:14" x14ac:dyDescent="0.25">
      <c r="A4013" s="121" t="s">
        <v>241</v>
      </c>
      <c r="B4013" s="121" t="s">
        <v>173</v>
      </c>
      <c r="C4013" s="62">
        <f>VLOOKUP(B4013,合并仓明细!$D$2:$F$74,3,0)</f>
        <v>163</v>
      </c>
      <c r="D4013" s="122" t="s">
        <v>413</v>
      </c>
      <c r="E4013" s="123">
        <v>46101</v>
      </c>
      <c r="F4013" s="121" t="s">
        <v>68</v>
      </c>
      <c r="G4013" s="121">
        <v>731.91600000000005</v>
      </c>
      <c r="H4013" s="124">
        <v>1.3225777356900001</v>
      </c>
      <c r="I4013" s="46">
        <f>ROUNDUP(H4013/30,0)*VLOOKUP(D4013,'报价表-配送'!$B$61:$I$65,8,0)</f>
        <v>0</v>
      </c>
      <c r="J4013" s="125"/>
      <c r="K4013" s="125"/>
      <c r="L4013" s="121"/>
      <c r="M4013" s="126"/>
      <c r="N4013" s="127">
        <f t="shared" ref="N4013" si="405">SUM(I4013:L4013)</f>
        <v>0</v>
      </c>
    </row>
    <row r="4014" spans="1:14" x14ac:dyDescent="0.25">
      <c r="A4014" s="121" t="s">
        <v>241</v>
      </c>
      <c r="B4014" s="121" t="s">
        <v>173</v>
      </c>
      <c r="C4014" s="62">
        <f>VLOOKUP(B4014,合并仓明细!$D$2:$F$74,3,0)</f>
        <v>163</v>
      </c>
      <c r="D4014" s="122" t="s">
        <v>413</v>
      </c>
      <c r="E4014" s="123">
        <v>46101</v>
      </c>
      <c r="F4014" s="121" t="s">
        <v>67</v>
      </c>
      <c r="G4014" s="121">
        <v>384.93869999999998</v>
      </c>
      <c r="H4014" s="124"/>
      <c r="I4014" s="125"/>
      <c r="J4014" s="125"/>
      <c r="K4014" s="125"/>
      <c r="L4014" s="121"/>
      <c r="M4014" s="126"/>
      <c r="N4014" s="121"/>
    </row>
    <row r="4015" spans="1:14" x14ac:dyDescent="0.25">
      <c r="A4015" s="121" t="s">
        <v>241</v>
      </c>
      <c r="B4015" s="121" t="s">
        <v>173</v>
      </c>
      <c r="C4015" s="62">
        <f>VLOOKUP(B4015,合并仓明细!$D$2:$F$74,3,0)</f>
        <v>163</v>
      </c>
      <c r="D4015" s="122" t="s">
        <v>413</v>
      </c>
      <c r="E4015" s="123">
        <v>46101</v>
      </c>
      <c r="F4015" s="121" t="s">
        <v>66</v>
      </c>
      <c r="G4015" s="121">
        <v>205.72303568999999</v>
      </c>
      <c r="H4015" s="124"/>
      <c r="I4015" s="125"/>
      <c r="J4015" s="125"/>
      <c r="K4015" s="125"/>
      <c r="L4015" s="121"/>
      <c r="M4015" s="126"/>
      <c r="N4015" s="121"/>
    </row>
    <row r="4016" spans="1:14" x14ac:dyDescent="0.25">
      <c r="A4016" s="121" t="s">
        <v>241</v>
      </c>
      <c r="B4016" s="121" t="s">
        <v>173</v>
      </c>
      <c r="C4016" s="62">
        <f>VLOOKUP(B4016,合并仓明细!$D$2:$F$74,3,0)</f>
        <v>163</v>
      </c>
      <c r="D4016" s="122" t="s">
        <v>413</v>
      </c>
      <c r="E4016" s="123">
        <v>46104</v>
      </c>
      <c r="F4016" s="121" t="s">
        <v>68</v>
      </c>
      <c r="G4016" s="121">
        <v>273.02159999999998</v>
      </c>
      <c r="H4016" s="124">
        <v>2.9521491258300001</v>
      </c>
      <c r="I4016" s="46">
        <f>ROUNDUP(H4016/30,0)*VLOOKUP(D4016,'报价表-配送'!$B$61:$I$65,8,0)</f>
        <v>0</v>
      </c>
      <c r="J4016" s="125"/>
      <c r="K4016" s="125"/>
      <c r="L4016" s="121"/>
      <c r="M4016" s="126"/>
      <c r="N4016" s="127">
        <f t="shared" ref="N4016" si="406">SUM(I4016:L4016)</f>
        <v>0</v>
      </c>
    </row>
    <row r="4017" spans="1:14" x14ac:dyDescent="0.25">
      <c r="A4017" s="121" t="s">
        <v>241</v>
      </c>
      <c r="B4017" s="121" t="s">
        <v>173</v>
      </c>
      <c r="C4017" s="62">
        <f>VLOOKUP(B4017,合并仓明细!$D$2:$F$74,3,0)</f>
        <v>163</v>
      </c>
      <c r="D4017" s="122" t="s">
        <v>413</v>
      </c>
      <c r="E4017" s="123">
        <v>46104</v>
      </c>
      <c r="F4017" s="121" t="s">
        <v>67</v>
      </c>
      <c r="G4017" s="121">
        <v>2236.1950260000003</v>
      </c>
      <c r="H4017" s="124"/>
      <c r="I4017" s="125"/>
      <c r="J4017" s="125"/>
      <c r="K4017" s="125"/>
      <c r="L4017" s="121"/>
      <c r="M4017" s="126"/>
      <c r="N4017" s="121"/>
    </row>
    <row r="4018" spans="1:14" x14ac:dyDescent="0.25">
      <c r="A4018" s="121" t="s">
        <v>241</v>
      </c>
      <c r="B4018" s="121" t="s">
        <v>173</v>
      </c>
      <c r="C4018" s="62">
        <f>VLOOKUP(B4018,合并仓明细!$D$2:$F$74,3,0)</f>
        <v>163</v>
      </c>
      <c r="D4018" s="122" t="s">
        <v>413</v>
      </c>
      <c r="E4018" s="123">
        <v>46104</v>
      </c>
      <c r="F4018" s="121" t="s">
        <v>66</v>
      </c>
      <c r="G4018" s="121">
        <v>442.93249982999998</v>
      </c>
      <c r="H4018" s="124"/>
      <c r="I4018" s="125"/>
      <c r="J4018" s="125"/>
      <c r="K4018" s="125"/>
      <c r="L4018" s="121"/>
      <c r="M4018" s="126"/>
      <c r="N4018" s="121"/>
    </row>
    <row r="4019" spans="1:14" x14ac:dyDescent="0.25">
      <c r="A4019" s="121" t="s">
        <v>241</v>
      </c>
      <c r="B4019" s="121" t="s">
        <v>173</v>
      </c>
      <c r="C4019" s="62">
        <f>VLOOKUP(B4019,合并仓明细!$D$2:$F$74,3,0)</f>
        <v>163</v>
      </c>
      <c r="D4019" s="122" t="s">
        <v>413</v>
      </c>
      <c r="E4019" s="123">
        <v>46106</v>
      </c>
      <c r="F4019" s="121" t="s">
        <v>68</v>
      </c>
      <c r="G4019" s="121">
        <v>46.252615999999996</v>
      </c>
      <c r="H4019" s="124">
        <v>2.2475936129900003</v>
      </c>
      <c r="I4019" s="46">
        <f>ROUNDUP(H4019/30,0)*VLOOKUP(D4019,'报价表-配送'!$B$61:$I$65,8,0)</f>
        <v>0</v>
      </c>
      <c r="J4019" s="125"/>
      <c r="K4019" s="125"/>
      <c r="L4019" s="121"/>
      <c r="M4019" s="126"/>
      <c r="N4019" s="127">
        <f t="shared" ref="N4019" si="407">SUM(I4019:L4019)</f>
        <v>0</v>
      </c>
    </row>
    <row r="4020" spans="1:14" x14ac:dyDescent="0.25">
      <c r="A4020" s="121" t="s">
        <v>241</v>
      </c>
      <c r="B4020" s="121" t="s">
        <v>173</v>
      </c>
      <c r="C4020" s="62">
        <f>VLOOKUP(B4020,合并仓明细!$D$2:$F$74,3,0)</f>
        <v>163</v>
      </c>
      <c r="D4020" s="122" t="s">
        <v>413</v>
      </c>
      <c r="E4020" s="123">
        <v>46106</v>
      </c>
      <c r="F4020" s="121" t="s">
        <v>67</v>
      </c>
      <c r="G4020" s="121">
        <v>2047.338497</v>
      </c>
      <c r="H4020" s="124"/>
      <c r="I4020" s="125"/>
      <c r="J4020" s="125"/>
      <c r="K4020" s="125"/>
      <c r="L4020" s="121"/>
      <c r="M4020" s="126"/>
      <c r="N4020" s="121"/>
    </row>
    <row r="4021" spans="1:14" x14ac:dyDescent="0.25">
      <c r="A4021" s="121" t="s">
        <v>241</v>
      </c>
      <c r="B4021" s="121" t="s">
        <v>173</v>
      </c>
      <c r="C4021" s="62">
        <f>VLOOKUP(B4021,合并仓明细!$D$2:$F$74,3,0)</f>
        <v>163</v>
      </c>
      <c r="D4021" s="122" t="s">
        <v>413</v>
      </c>
      <c r="E4021" s="123">
        <v>46106</v>
      </c>
      <c r="F4021" s="121" t="s">
        <v>66</v>
      </c>
      <c r="G4021" s="121">
        <v>154.00249999000002</v>
      </c>
      <c r="H4021" s="124"/>
      <c r="I4021" s="125"/>
      <c r="J4021" s="125"/>
      <c r="K4021" s="125"/>
      <c r="L4021" s="121"/>
      <c r="M4021" s="126"/>
      <c r="N4021" s="121"/>
    </row>
    <row r="4022" spans="1:14" x14ac:dyDescent="0.25">
      <c r="A4022" s="121" t="s">
        <v>241</v>
      </c>
      <c r="B4022" s="121" t="s">
        <v>173</v>
      </c>
      <c r="C4022" s="62">
        <f>VLOOKUP(B4022,合并仓明细!$D$2:$F$74,3,0)</f>
        <v>163</v>
      </c>
      <c r="D4022" s="122" t="s">
        <v>413</v>
      </c>
      <c r="E4022" s="123">
        <v>46107</v>
      </c>
      <c r="F4022" s="121" t="s">
        <v>68</v>
      </c>
      <c r="G4022" s="121">
        <v>1570.2751839999999</v>
      </c>
      <c r="H4022" s="124">
        <v>3.2890962099099998</v>
      </c>
      <c r="I4022" s="46">
        <f>ROUNDUP(H4022/30,0)*VLOOKUP(D4022,'报价表-配送'!$B$61:$I$65,8,0)</f>
        <v>0</v>
      </c>
      <c r="J4022" s="125"/>
      <c r="K4022" s="125"/>
      <c r="L4022" s="121"/>
      <c r="M4022" s="126"/>
      <c r="N4022" s="127">
        <f t="shared" ref="N4022" si="408">SUM(I4022:L4022)</f>
        <v>0</v>
      </c>
    </row>
    <row r="4023" spans="1:14" x14ac:dyDescent="0.25">
      <c r="A4023" s="121" t="s">
        <v>241</v>
      </c>
      <c r="B4023" s="121" t="s">
        <v>173</v>
      </c>
      <c r="C4023" s="62">
        <f>VLOOKUP(B4023,合并仓明细!$D$2:$F$74,3,0)</f>
        <v>163</v>
      </c>
      <c r="D4023" s="122" t="s">
        <v>413</v>
      </c>
      <c r="E4023" s="123">
        <v>46107</v>
      </c>
      <c r="F4023" s="121" t="s">
        <v>67</v>
      </c>
      <c r="G4023" s="121">
        <v>118.3556926</v>
      </c>
      <c r="H4023" s="124"/>
      <c r="I4023" s="125"/>
      <c r="J4023" s="125"/>
      <c r="K4023" s="125"/>
      <c r="L4023" s="121"/>
      <c r="M4023" s="126"/>
      <c r="N4023" s="121"/>
    </row>
    <row r="4024" spans="1:14" x14ac:dyDescent="0.25">
      <c r="A4024" s="121" t="s">
        <v>241</v>
      </c>
      <c r="B4024" s="121" t="s">
        <v>173</v>
      </c>
      <c r="C4024" s="62">
        <f>VLOOKUP(B4024,合并仓明细!$D$2:$F$74,3,0)</f>
        <v>163</v>
      </c>
      <c r="D4024" s="122" t="s">
        <v>413</v>
      </c>
      <c r="E4024" s="123">
        <v>46107</v>
      </c>
      <c r="F4024" s="121" t="s">
        <v>66</v>
      </c>
      <c r="G4024" s="121">
        <v>1600.46533331</v>
      </c>
      <c r="H4024" s="124"/>
      <c r="I4024" s="125"/>
      <c r="J4024" s="125"/>
      <c r="K4024" s="125"/>
      <c r="L4024" s="121"/>
      <c r="M4024" s="126"/>
      <c r="N4024" s="121"/>
    </row>
    <row r="4025" spans="1:14" x14ac:dyDescent="0.25">
      <c r="A4025" s="121" t="s">
        <v>241</v>
      </c>
      <c r="B4025" s="121" t="s">
        <v>174</v>
      </c>
      <c r="C4025" s="62">
        <f>VLOOKUP(B4025,合并仓明细!$D$2:$F$74,3,0)</f>
        <v>49</v>
      </c>
      <c r="D4025" s="122" t="s">
        <v>393</v>
      </c>
      <c r="E4025" s="123">
        <v>45946</v>
      </c>
      <c r="F4025" s="121" t="s">
        <v>68</v>
      </c>
      <c r="G4025" s="121">
        <v>960.35699999999997</v>
      </c>
      <c r="H4025" s="124">
        <v>12.005696443729999</v>
      </c>
      <c r="I4025" s="46">
        <f>ROUNDUP(H4025/30,0)*VLOOKUP(D4025,'报价表-配送'!$B$61:$I$65,8,0)</f>
        <v>0</v>
      </c>
      <c r="J4025" s="125"/>
      <c r="K4025" s="125"/>
      <c r="L4025" s="121"/>
      <c r="M4025" s="126"/>
      <c r="N4025" s="127">
        <f t="shared" ref="N4025" si="409">SUM(I4025:L4025)</f>
        <v>0</v>
      </c>
    </row>
    <row r="4026" spans="1:14" x14ac:dyDescent="0.25">
      <c r="A4026" s="121" t="s">
        <v>241</v>
      </c>
      <c r="B4026" s="121" t="s">
        <v>174</v>
      </c>
      <c r="C4026" s="62">
        <f>VLOOKUP(B4026,合并仓明细!$D$2:$F$74,3,0)</f>
        <v>49</v>
      </c>
      <c r="D4026" s="122" t="s">
        <v>393</v>
      </c>
      <c r="E4026" s="123">
        <v>45946</v>
      </c>
      <c r="F4026" s="121" t="s">
        <v>67</v>
      </c>
      <c r="G4026" s="121">
        <v>8511.55874692</v>
      </c>
      <c r="H4026" s="124"/>
      <c r="I4026" s="125"/>
      <c r="J4026" s="125"/>
      <c r="K4026" s="125"/>
      <c r="L4026" s="121"/>
      <c r="M4026" s="126"/>
      <c r="N4026" s="121"/>
    </row>
    <row r="4027" spans="1:14" x14ac:dyDescent="0.25">
      <c r="A4027" s="121" t="s">
        <v>241</v>
      </c>
      <c r="B4027" s="121" t="s">
        <v>174</v>
      </c>
      <c r="C4027" s="62">
        <f>VLOOKUP(B4027,合并仓明细!$D$2:$F$74,3,0)</f>
        <v>49</v>
      </c>
      <c r="D4027" s="122" t="s">
        <v>393</v>
      </c>
      <c r="E4027" s="123">
        <v>45946</v>
      </c>
      <c r="F4027" s="121" t="s">
        <v>66</v>
      </c>
      <c r="G4027" s="121">
        <v>2533.7806968099999</v>
      </c>
      <c r="H4027" s="124"/>
      <c r="I4027" s="125"/>
      <c r="J4027" s="125"/>
      <c r="K4027" s="125"/>
      <c r="L4027" s="121"/>
      <c r="M4027" s="126"/>
      <c r="N4027" s="121"/>
    </row>
    <row r="4028" spans="1:14" x14ac:dyDescent="0.25">
      <c r="A4028" s="121" t="s">
        <v>241</v>
      </c>
      <c r="B4028" s="121" t="s">
        <v>174</v>
      </c>
      <c r="C4028" s="62">
        <f>VLOOKUP(B4028,合并仓明细!$D$2:$F$74,3,0)</f>
        <v>49</v>
      </c>
      <c r="D4028" s="122" t="s">
        <v>393</v>
      </c>
      <c r="E4028" s="123">
        <v>45952</v>
      </c>
      <c r="F4028" s="121" t="s">
        <v>68</v>
      </c>
      <c r="G4028" s="121">
        <v>14044.851480000001</v>
      </c>
      <c r="H4028" s="124">
        <v>21.505142680200002</v>
      </c>
      <c r="I4028" s="46">
        <f>ROUNDUP(H4028/30,0)*VLOOKUP(D4028,'报价表-配送'!$B$61:$I$65,8,0)</f>
        <v>0</v>
      </c>
      <c r="J4028" s="125"/>
      <c r="K4028" s="125"/>
      <c r="L4028" s="121"/>
      <c r="M4028" s="126"/>
      <c r="N4028" s="127">
        <f t="shared" ref="N4028" si="410">SUM(I4028:L4028)</f>
        <v>0</v>
      </c>
    </row>
    <row r="4029" spans="1:14" x14ac:dyDescent="0.25">
      <c r="A4029" s="121" t="s">
        <v>241</v>
      </c>
      <c r="B4029" s="121" t="s">
        <v>174</v>
      </c>
      <c r="C4029" s="62">
        <f>VLOOKUP(B4029,合并仓明细!$D$2:$F$74,3,0)</f>
        <v>49</v>
      </c>
      <c r="D4029" s="122" t="s">
        <v>393</v>
      </c>
      <c r="E4029" s="123">
        <v>45952</v>
      </c>
      <c r="F4029" s="121" t="s">
        <v>67</v>
      </c>
      <c r="G4029" s="121">
        <v>5439.805848</v>
      </c>
      <c r="H4029" s="124"/>
      <c r="I4029" s="125"/>
      <c r="J4029" s="125"/>
      <c r="K4029" s="125"/>
      <c r="L4029" s="121"/>
      <c r="M4029" s="126"/>
      <c r="N4029" s="121"/>
    </row>
    <row r="4030" spans="1:14" x14ac:dyDescent="0.25">
      <c r="A4030" s="121" t="s">
        <v>241</v>
      </c>
      <c r="B4030" s="121" t="s">
        <v>174</v>
      </c>
      <c r="C4030" s="62">
        <f>VLOOKUP(B4030,合并仓明细!$D$2:$F$74,3,0)</f>
        <v>49</v>
      </c>
      <c r="D4030" s="122" t="s">
        <v>393</v>
      </c>
      <c r="E4030" s="123">
        <v>45952</v>
      </c>
      <c r="F4030" s="121" t="s">
        <v>66</v>
      </c>
      <c r="G4030" s="121">
        <v>2020.4853522000001</v>
      </c>
      <c r="H4030" s="124"/>
      <c r="I4030" s="125"/>
      <c r="J4030" s="125"/>
      <c r="K4030" s="125"/>
      <c r="L4030" s="121"/>
      <c r="M4030" s="126"/>
      <c r="N4030" s="121"/>
    </row>
    <row r="4031" spans="1:14" x14ac:dyDescent="0.25">
      <c r="A4031" s="121" t="s">
        <v>241</v>
      </c>
      <c r="B4031" s="121" t="s">
        <v>174</v>
      </c>
      <c r="C4031" s="62">
        <f>VLOOKUP(B4031,合并仓明细!$D$2:$F$74,3,0)</f>
        <v>49</v>
      </c>
      <c r="D4031" s="122" t="s">
        <v>393</v>
      </c>
      <c r="E4031" s="123">
        <v>45957</v>
      </c>
      <c r="F4031" s="121" t="s">
        <v>68</v>
      </c>
      <c r="G4031" s="121">
        <v>1417.0140000000001</v>
      </c>
      <c r="H4031" s="124">
        <v>6.9027047136600004</v>
      </c>
      <c r="I4031" s="46">
        <f>ROUNDUP(H4031/30,0)*VLOOKUP(D4031,'报价表-配送'!$B$61:$I$65,8,0)</f>
        <v>0</v>
      </c>
      <c r="J4031" s="125"/>
      <c r="K4031" s="125"/>
      <c r="L4031" s="121"/>
      <c r="M4031" s="126"/>
      <c r="N4031" s="127">
        <f t="shared" ref="N4031" si="411">SUM(I4031:L4031)</f>
        <v>0</v>
      </c>
    </row>
    <row r="4032" spans="1:14" x14ac:dyDescent="0.25">
      <c r="A4032" s="121" t="s">
        <v>241</v>
      </c>
      <c r="B4032" s="121" t="s">
        <v>174</v>
      </c>
      <c r="C4032" s="62">
        <f>VLOOKUP(B4032,合并仓明细!$D$2:$F$74,3,0)</f>
        <v>49</v>
      </c>
      <c r="D4032" s="122" t="s">
        <v>393</v>
      </c>
      <c r="E4032" s="123">
        <v>45957</v>
      </c>
      <c r="F4032" s="121" t="s">
        <v>67</v>
      </c>
      <c r="G4032" s="121">
        <v>4958.5132140000005</v>
      </c>
      <c r="H4032" s="124"/>
      <c r="I4032" s="125"/>
      <c r="J4032" s="125"/>
      <c r="K4032" s="125"/>
      <c r="L4032" s="121"/>
      <c r="M4032" s="126"/>
      <c r="N4032" s="121"/>
    </row>
    <row r="4033" spans="1:14" x14ac:dyDescent="0.25">
      <c r="A4033" s="121" t="s">
        <v>241</v>
      </c>
      <c r="B4033" s="121" t="s">
        <v>174</v>
      </c>
      <c r="C4033" s="62">
        <f>VLOOKUP(B4033,合并仓明细!$D$2:$F$74,3,0)</f>
        <v>49</v>
      </c>
      <c r="D4033" s="122" t="s">
        <v>393</v>
      </c>
      <c r="E4033" s="123">
        <v>45957</v>
      </c>
      <c r="F4033" s="121" t="s">
        <v>66</v>
      </c>
      <c r="G4033" s="121">
        <v>527.17749965999997</v>
      </c>
      <c r="H4033" s="124"/>
      <c r="I4033" s="125"/>
      <c r="J4033" s="125"/>
      <c r="K4033" s="125"/>
      <c r="L4033" s="121"/>
      <c r="M4033" s="126"/>
      <c r="N4033" s="121"/>
    </row>
    <row r="4034" spans="1:14" x14ac:dyDescent="0.25">
      <c r="A4034" s="121" t="s">
        <v>241</v>
      </c>
      <c r="B4034" s="121" t="s">
        <v>174</v>
      </c>
      <c r="C4034" s="62">
        <f>VLOOKUP(B4034,合并仓明细!$D$2:$F$74,3,0)</f>
        <v>49</v>
      </c>
      <c r="D4034" s="122" t="s">
        <v>393</v>
      </c>
      <c r="E4034" s="123">
        <v>45966</v>
      </c>
      <c r="F4034" s="121" t="s">
        <v>68</v>
      </c>
      <c r="G4034" s="121">
        <v>490.65600000000001</v>
      </c>
      <c r="H4034" s="124">
        <v>9.9962194147099996</v>
      </c>
      <c r="I4034" s="46">
        <f>ROUNDUP(H4034/30,0)*VLOOKUP(D4034,'报价表-配送'!$B$61:$I$65,8,0)</f>
        <v>0</v>
      </c>
      <c r="J4034" s="125"/>
      <c r="K4034" s="125"/>
      <c r="L4034" s="121"/>
      <c r="M4034" s="126"/>
      <c r="N4034" s="127">
        <f t="shared" ref="N4034" si="412">SUM(I4034:L4034)</f>
        <v>0</v>
      </c>
    </row>
    <row r="4035" spans="1:14" x14ac:dyDescent="0.25">
      <c r="A4035" s="121" t="s">
        <v>241</v>
      </c>
      <c r="B4035" s="121" t="s">
        <v>174</v>
      </c>
      <c r="C4035" s="62">
        <f>VLOOKUP(B4035,合并仓明细!$D$2:$F$74,3,0)</f>
        <v>49</v>
      </c>
      <c r="D4035" s="122" t="s">
        <v>393</v>
      </c>
      <c r="E4035" s="123">
        <v>45966</v>
      </c>
      <c r="F4035" s="121" t="s">
        <v>67</v>
      </c>
      <c r="G4035" s="121">
        <v>5527.3932480000003</v>
      </c>
      <c r="H4035" s="124"/>
      <c r="I4035" s="125"/>
      <c r="J4035" s="125"/>
      <c r="K4035" s="125"/>
      <c r="L4035" s="121"/>
      <c r="M4035" s="126"/>
      <c r="N4035" s="121"/>
    </row>
    <row r="4036" spans="1:14" x14ac:dyDescent="0.25">
      <c r="A4036" s="121" t="s">
        <v>241</v>
      </c>
      <c r="B4036" s="121" t="s">
        <v>174</v>
      </c>
      <c r="C4036" s="62">
        <f>VLOOKUP(B4036,合并仓明细!$D$2:$F$74,3,0)</f>
        <v>49</v>
      </c>
      <c r="D4036" s="122" t="s">
        <v>393</v>
      </c>
      <c r="E4036" s="123">
        <v>45966</v>
      </c>
      <c r="F4036" s="121" t="s">
        <v>66</v>
      </c>
      <c r="G4036" s="121">
        <v>3978.1701667099996</v>
      </c>
      <c r="H4036" s="124"/>
      <c r="I4036" s="125"/>
      <c r="J4036" s="125"/>
      <c r="K4036" s="125"/>
      <c r="L4036" s="121"/>
      <c r="M4036" s="126"/>
      <c r="N4036" s="121"/>
    </row>
    <row r="4037" spans="1:14" x14ac:dyDescent="0.25">
      <c r="A4037" s="121" t="s">
        <v>241</v>
      </c>
      <c r="B4037" s="121" t="s">
        <v>174</v>
      </c>
      <c r="C4037" s="62">
        <f>VLOOKUP(B4037,合并仓明细!$D$2:$F$74,3,0)</f>
        <v>49</v>
      </c>
      <c r="D4037" s="122" t="s">
        <v>393</v>
      </c>
      <c r="E4037" s="123">
        <v>45974</v>
      </c>
      <c r="F4037" s="121" t="s">
        <v>68</v>
      </c>
      <c r="G4037" s="121">
        <v>1391.3878799999998</v>
      </c>
      <c r="H4037" s="124">
        <v>20.7538534364</v>
      </c>
      <c r="I4037" s="46">
        <f>ROUNDUP(H4037/30,0)*VLOOKUP(D4037,'报价表-配送'!$B$61:$I$65,8,0)</f>
        <v>0</v>
      </c>
      <c r="J4037" s="125"/>
      <c r="K4037" s="125"/>
      <c r="L4037" s="121"/>
      <c r="M4037" s="126"/>
      <c r="N4037" s="127">
        <f t="shared" ref="N4037" si="413">SUM(I4037:L4037)</f>
        <v>0</v>
      </c>
    </row>
    <row r="4038" spans="1:14" x14ac:dyDescent="0.25">
      <c r="A4038" s="121" t="s">
        <v>241</v>
      </c>
      <c r="B4038" s="121" t="s">
        <v>174</v>
      </c>
      <c r="C4038" s="62">
        <f>VLOOKUP(B4038,合并仓明细!$D$2:$F$74,3,0)</f>
        <v>49</v>
      </c>
      <c r="D4038" s="122" t="s">
        <v>393</v>
      </c>
      <c r="E4038" s="123">
        <v>45974</v>
      </c>
      <c r="F4038" s="121" t="s">
        <v>67</v>
      </c>
      <c r="G4038" s="121">
        <v>17508.901116000001</v>
      </c>
      <c r="H4038" s="124"/>
      <c r="I4038" s="125"/>
      <c r="J4038" s="125"/>
      <c r="K4038" s="125"/>
      <c r="L4038" s="121"/>
      <c r="M4038" s="126"/>
      <c r="N4038" s="121"/>
    </row>
    <row r="4039" spans="1:14" x14ac:dyDescent="0.25">
      <c r="A4039" s="121" t="s">
        <v>241</v>
      </c>
      <c r="B4039" s="121" t="s">
        <v>174</v>
      </c>
      <c r="C4039" s="62">
        <f>VLOOKUP(B4039,合并仓明细!$D$2:$F$74,3,0)</f>
        <v>49</v>
      </c>
      <c r="D4039" s="122" t="s">
        <v>393</v>
      </c>
      <c r="E4039" s="123">
        <v>45974</v>
      </c>
      <c r="F4039" s="121" t="s">
        <v>66</v>
      </c>
      <c r="G4039" s="121">
        <v>1853.5644404000002</v>
      </c>
      <c r="H4039" s="124"/>
      <c r="I4039" s="125"/>
      <c r="J4039" s="125"/>
      <c r="K4039" s="125"/>
      <c r="L4039" s="121"/>
      <c r="M4039" s="126"/>
      <c r="N4039" s="121"/>
    </row>
    <row r="4040" spans="1:14" x14ac:dyDescent="0.25">
      <c r="A4040" s="121" t="s">
        <v>241</v>
      </c>
      <c r="B4040" s="121" t="s">
        <v>174</v>
      </c>
      <c r="C4040" s="62">
        <f>VLOOKUP(B4040,合并仓明细!$D$2:$F$74,3,0)</f>
        <v>49</v>
      </c>
      <c r="D4040" s="122" t="s">
        <v>393</v>
      </c>
      <c r="E4040" s="123">
        <v>45975</v>
      </c>
      <c r="F4040" s="121" t="s">
        <v>68</v>
      </c>
      <c r="G4040" s="121">
        <v>854.04</v>
      </c>
      <c r="H4040" s="124">
        <v>20.901329598509992</v>
      </c>
      <c r="I4040" s="46">
        <f>ROUNDUP(H4040/30,0)*VLOOKUP(D4040,'报价表-配送'!$B$61:$I$65,8,0)</f>
        <v>0</v>
      </c>
      <c r="J4040" s="125"/>
      <c r="K4040" s="125"/>
      <c r="L4040" s="121"/>
      <c r="M4040" s="126"/>
      <c r="N4040" s="127">
        <f t="shared" ref="N4040" si="414">SUM(I4040:L4040)</f>
        <v>0</v>
      </c>
    </row>
    <row r="4041" spans="1:14" x14ac:dyDescent="0.25">
      <c r="A4041" s="121" t="s">
        <v>241</v>
      </c>
      <c r="B4041" s="121" t="s">
        <v>174</v>
      </c>
      <c r="C4041" s="62">
        <f>VLOOKUP(B4041,合并仓明细!$D$2:$F$74,3,0)</f>
        <v>49</v>
      </c>
      <c r="D4041" s="122" t="s">
        <v>393</v>
      </c>
      <c r="E4041" s="123">
        <v>45975</v>
      </c>
      <c r="F4041" s="121" t="s">
        <v>67</v>
      </c>
      <c r="G4041" s="121">
        <v>13204.013741999999</v>
      </c>
      <c r="H4041" s="124"/>
      <c r="I4041" s="125"/>
      <c r="J4041" s="125"/>
      <c r="K4041" s="125"/>
      <c r="L4041" s="121"/>
      <c r="M4041" s="126"/>
      <c r="N4041" s="121"/>
    </row>
    <row r="4042" spans="1:14" x14ac:dyDescent="0.25">
      <c r="A4042" s="121" t="s">
        <v>241</v>
      </c>
      <c r="B4042" s="121" t="s">
        <v>174</v>
      </c>
      <c r="C4042" s="62">
        <f>VLOOKUP(B4042,合并仓明细!$D$2:$F$74,3,0)</f>
        <v>49</v>
      </c>
      <c r="D4042" s="122" t="s">
        <v>393</v>
      </c>
      <c r="E4042" s="123">
        <v>45975</v>
      </c>
      <c r="F4042" s="121" t="s">
        <v>66</v>
      </c>
      <c r="G4042" s="121">
        <v>6843.275856509993</v>
      </c>
      <c r="H4042" s="124"/>
      <c r="I4042" s="125"/>
      <c r="J4042" s="125"/>
      <c r="K4042" s="125"/>
      <c r="L4042" s="121"/>
      <c r="M4042" s="126"/>
      <c r="N4042" s="121"/>
    </row>
    <row r="4043" spans="1:14" x14ac:dyDescent="0.25">
      <c r="A4043" s="121" t="s">
        <v>241</v>
      </c>
      <c r="B4043" s="121" t="s">
        <v>174</v>
      </c>
      <c r="C4043" s="62">
        <f>VLOOKUP(B4043,合并仓明细!$D$2:$F$74,3,0)</f>
        <v>49</v>
      </c>
      <c r="D4043" s="122" t="s">
        <v>393</v>
      </c>
      <c r="E4043" s="123">
        <v>45981</v>
      </c>
      <c r="F4043" s="121" t="s">
        <v>68</v>
      </c>
      <c r="G4043" s="121">
        <v>328.31999999999994</v>
      </c>
      <c r="H4043" s="124">
        <v>22.469879249330003</v>
      </c>
      <c r="I4043" s="46">
        <f>ROUNDUP(H4043/30,0)*VLOOKUP(D4043,'报价表-配送'!$B$61:$I$65,8,0)</f>
        <v>0</v>
      </c>
      <c r="J4043" s="125"/>
      <c r="K4043" s="125"/>
      <c r="L4043" s="121"/>
      <c r="M4043" s="126"/>
      <c r="N4043" s="127">
        <f t="shared" ref="N4043" si="415">SUM(I4043:L4043)</f>
        <v>0</v>
      </c>
    </row>
    <row r="4044" spans="1:14" x14ac:dyDescent="0.25">
      <c r="A4044" s="121" t="s">
        <v>241</v>
      </c>
      <c r="B4044" s="121" t="s">
        <v>174</v>
      </c>
      <c r="C4044" s="62">
        <f>VLOOKUP(B4044,合并仓明细!$D$2:$F$74,3,0)</f>
        <v>49</v>
      </c>
      <c r="D4044" s="122" t="s">
        <v>393</v>
      </c>
      <c r="E4044" s="123">
        <v>45981</v>
      </c>
      <c r="F4044" s="121" t="s">
        <v>67</v>
      </c>
      <c r="G4044" s="121">
        <v>18966.133416000004</v>
      </c>
      <c r="H4044" s="124"/>
      <c r="I4044" s="125"/>
      <c r="J4044" s="125"/>
      <c r="K4044" s="125"/>
      <c r="L4044" s="121"/>
      <c r="M4044" s="126"/>
      <c r="N4044" s="121"/>
    </row>
    <row r="4045" spans="1:14" x14ac:dyDescent="0.25">
      <c r="A4045" s="121" t="s">
        <v>241</v>
      </c>
      <c r="B4045" s="121" t="s">
        <v>174</v>
      </c>
      <c r="C4045" s="62">
        <f>VLOOKUP(B4045,合并仓明细!$D$2:$F$74,3,0)</f>
        <v>49</v>
      </c>
      <c r="D4045" s="122" t="s">
        <v>393</v>
      </c>
      <c r="E4045" s="123">
        <v>45981</v>
      </c>
      <c r="F4045" s="121" t="s">
        <v>66</v>
      </c>
      <c r="G4045" s="121">
        <v>3175.4258333299999</v>
      </c>
      <c r="H4045" s="124"/>
      <c r="I4045" s="125"/>
      <c r="J4045" s="125"/>
      <c r="K4045" s="125"/>
      <c r="L4045" s="121"/>
      <c r="M4045" s="126"/>
      <c r="N4045" s="121"/>
    </row>
    <row r="4046" spans="1:14" x14ac:dyDescent="0.25">
      <c r="A4046" s="121" t="s">
        <v>241</v>
      </c>
      <c r="B4046" s="121" t="s">
        <v>174</v>
      </c>
      <c r="C4046" s="62">
        <f>VLOOKUP(B4046,合并仓明细!$D$2:$F$74,3,0)</f>
        <v>49</v>
      </c>
      <c r="D4046" s="122" t="s">
        <v>393</v>
      </c>
      <c r="E4046" s="123">
        <v>45995</v>
      </c>
      <c r="F4046" s="121" t="s">
        <v>68</v>
      </c>
      <c r="G4046" s="121">
        <v>4197.42</v>
      </c>
      <c r="H4046" s="124">
        <v>6.6294800000000018</v>
      </c>
      <c r="I4046" s="46">
        <f>ROUNDUP(H4046/30,0)*VLOOKUP(D4046,'报价表-配送'!$B$61:$I$65,8,0)</f>
        <v>0</v>
      </c>
      <c r="J4046" s="125"/>
      <c r="K4046" s="125"/>
      <c r="L4046" s="121"/>
      <c r="M4046" s="126"/>
      <c r="N4046" s="127">
        <f t="shared" ref="N4046" si="416">SUM(I4046:L4046)</f>
        <v>0</v>
      </c>
    </row>
    <row r="4047" spans="1:14" x14ac:dyDescent="0.25">
      <c r="A4047" s="121" t="s">
        <v>241</v>
      </c>
      <c r="B4047" s="121" t="s">
        <v>174</v>
      </c>
      <c r="C4047" s="62">
        <f>VLOOKUP(B4047,合并仓明细!$D$2:$F$74,3,0)</f>
        <v>49</v>
      </c>
      <c r="D4047" s="122" t="s">
        <v>393</v>
      </c>
      <c r="E4047" s="123">
        <v>45995</v>
      </c>
      <c r="F4047" s="121" t="s">
        <v>66</v>
      </c>
      <c r="G4047" s="121">
        <v>2432.0600000000009</v>
      </c>
      <c r="H4047" s="124"/>
      <c r="I4047" s="125"/>
      <c r="J4047" s="125"/>
      <c r="K4047" s="125"/>
      <c r="L4047" s="121"/>
      <c r="M4047" s="126"/>
      <c r="N4047" s="121"/>
    </row>
    <row r="4048" spans="1:14" x14ac:dyDescent="0.25">
      <c r="A4048" s="121" t="s">
        <v>241</v>
      </c>
      <c r="B4048" s="121" t="s">
        <v>174</v>
      </c>
      <c r="C4048" s="62">
        <f>VLOOKUP(B4048,合并仓明细!$D$2:$F$74,3,0)</f>
        <v>49</v>
      </c>
      <c r="D4048" s="122" t="s">
        <v>393</v>
      </c>
      <c r="E4048" s="123">
        <v>45996</v>
      </c>
      <c r="F4048" s="121" t="s">
        <v>68</v>
      </c>
      <c r="G4048" s="121">
        <v>988.33199999999999</v>
      </c>
      <c r="H4048" s="124">
        <v>34.079972360599996</v>
      </c>
      <c r="I4048" s="46">
        <f>ROUNDUP(H4048/30,0)*VLOOKUP(D4048,'报价表-配送'!$B$61:$I$65,8,0)</f>
        <v>0</v>
      </c>
      <c r="J4048" s="125"/>
      <c r="K4048" s="125"/>
      <c r="L4048" s="121"/>
      <c r="M4048" s="126"/>
      <c r="N4048" s="127">
        <f t="shared" ref="N4048" si="417">SUM(I4048:L4048)</f>
        <v>0</v>
      </c>
    </row>
    <row r="4049" spans="1:14" x14ac:dyDescent="0.25">
      <c r="A4049" s="121" t="s">
        <v>241</v>
      </c>
      <c r="B4049" s="121" t="s">
        <v>174</v>
      </c>
      <c r="C4049" s="62">
        <f>VLOOKUP(B4049,合并仓明细!$D$2:$F$74,3,0)</f>
        <v>49</v>
      </c>
      <c r="D4049" s="122" t="s">
        <v>393</v>
      </c>
      <c r="E4049" s="123">
        <v>45996</v>
      </c>
      <c r="F4049" s="121" t="s">
        <v>67</v>
      </c>
      <c r="G4049" s="121">
        <v>30925.459906</v>
      </c>
      <c r="H4049" s="124"/>
      <c r="I4049" s="125"/>
      <c r="J4049" s="125"/>
      <c r="K4049" s="125"/>
      <c r="L4049" s="121"/>
      <c r="M4049" s="126"/>
      <c r="N4049" s="121"/>
    </row>
    <row r="4050" spans="1:14" x14ac:dyDescent="0.25">
      <c r="A4050" s="121" t="s">
        <v>241</v>
      </c>
      <c r="B4050" s="121" t="s">
        <v>174</v>
      </c>
      <c r="C4050" s="62">
        <f>VLOOKUP(B4050,合并仓明细!$D$2:$F$74,3,0)</f>
        <v>49</v>
      </c>
      <c r="D4050" s="122" t="s">
        <v>393</v>
      </c>
      <c r="E4050" s="123">
        <v>45996</v>
      </c>
      <c r="F4050" s="121" t="s">
        <v>66</v>
      </c>
      <c r="G4050" s="121">
        <v>2166.1804546000003</v>
      </c>
      <c r="H4050" s="124"/>
      <c r="I4050" s="125"/>
      <c r="J4050" s="125"/>
      <c r="K4050" s="125"/>
      <c r="L4050" s="121"/>
      <c r="M4050" s="126"/>
      <c r="N4050" s="121"/>
    </row>
    <row r="4051" spans="1:14" x14ac:dyDescent="0.25">
      <c r="A4051" s="121" t="s">
        <v>241</v>
      </c>
      <c r="B4051" s="121" t="s">
        <v>174</v>
      </c>
      <c r="C4051" s="62">
        <f>VLOOKUP(B4051,合并仓明细!$D$2:$F$74,3,0)</f>
        <v>49</v>
      </c>
      <c r="D4051" s="122" t="s">
        <v>393</v>
      </c>
      <c r="E4051" s="123">
        <v>46001</v>
      </c>
      <c r="F4051" s="121" t="s">
        <v>68</v>
      </c>
      <c r="G4051" s="121">
        <v>1450.46</v>
      </c>
      <c r="H4051" s="124">
        <v>15.856516666649998</v>
      </c>
      <c r="I4051" s="46">
        <f>ROUNDUP(H4051/30,0)*VLOOKUP(D4051,'报价表-配送'!$B$61:$I$65,8,0)</f>
        <v>0</v>
      </c>
      <c r="J4051" s="125"/>
      <c r="K4051" s="125"/>
      <c r="L4051" s="121"/>
      <c r="M4051" s="126"/>
      <c r="N4051" s="127">
        <f t="shared" ref="N4051" si="418">SUM(I4051:L4051)</f>
        <v>0</v>
      </c>
    </row>
    <row r="4052" spans="1:14" x14ac:dyDescent="0.25">
      <c r="A4052" s="121" t="s">
        <v>241</v>
      </c>
      <c r="B4052" s="121" t="s">
        <v>174</v>
      </c>
      <c r="C4052" s="62">
        <f>VLOOKUP(B4052,合并仓明细!$D$2:$F$74,3,0)</f>
        <v>49</v>
      </c>
      <c r="D4052" s="122" t="s">
        <v>393</v>
      </c>
      <c r="E4052" s="123">
        <v>46001</v>
      </c>
      <c r="F4052" s="121" t="s">
        <v>67</v>
      </c>
      <c r="G4052" s="121">
        <v>12585.52</v>
      </c>
      <c r="H4052" s="124"/>
      <c r="I4052" s="125"/>
      <c r="J4052" s="125"/>
      <c r="K4052" s="125"/>
      <c r="L4052" s="121"/>
      <c r="M4052" s="126"/>
      <c r="N4052" s="121"/>
    </row>
    <row r="4053" spans="1:14" x14ac:dyDescent="0.25">
      <c r="A4053" s="121" t="s">
        <v>241</v>
      </c>
      <c r="B4053" s="121" t="s">
        <v>174</v>
      </c>
      <c r="C4053" s="62">
        <f>VLOOKUP(B4053,合并仓明细!$D$2:$F$74,3,0)</f>
        <v>49</v>
      </c>
      <c r="D4053" s="122" t="s">
        <v>393</v>
      </c>
      <c r="E4053" s="123">
        <v>46001</v>
      </c>
      <c r="F4053" s="121" t="s">
        <v>66</v>
      </c>
      <c r="G4053" s="121">
        <v>1820.5366666500001</v>
      </c>
      <c r="H4053" s="124"/>
      <c r="I4053" s="125"/>
      <c r="J4053" s="125"/>
      <c r="K4053" s="125"/>
      <c r="L4053" s="121"/>
      <c r="M4053" s="126"/>
      <c r="N4053" s="121"/>
    </row>
    <row r="4054" spans="1:14" x14ac:dyDescent="0.25">
      <c r="A4054" s="121" t="s">
        <v>241</v>
      </c>
      <c r="B4054" s="121" t="s">
        <v>174</v>
      </c>
      <c r="C4054" s="62">
        <f>VLOOKUP(B4054,合并仓明细!$D$2:$F$74,3,0)</f>
        <v>49</v>
      </c>
      <c r="D4054" s="122" t="s">
        <v>393</v>
      </c>
      <c r="E4054" s="123">
        <v>46003</v>
      </c>
      <c r="F4054" s="121" t="s">
        <v>68</v>
      </c>
      <c r="G4054" s="121">
        <v>1191.942</v>
      </c>
      <c r="H4054" s="124">
        <v>4.2491019999999997</v>
      </c>
      <c r="I4054" s="46">
        <f>ROUNDUP(H4054/30,0)*VLOOKUP(D4054,'报价表-配送'!$B$61:$I$65,8,0)</f>
        <v>0</v>
      </c>
      <c r="J4054" s="125"/>
      <c r="K4054" s="125"/>
      <c r="L4054" s="121"/>
      <c r="M4054" s="126"/>
      <c r="N4054" s="127">
        <f t="shared" ref="N4054" si="419">SUM(I4054:L4054)</f>
        <v>0</v>
      </c>
    </row>
    <row r="4055" spans="1:14" x14ac:dyDescent="0.25">
      <c r="A4055" s="121" t="s">
        <v>241</v>
      </c>
      <c r="B4055" s="121" t="s">
        <v>174</v>
      </c>
      <c r="C4055" s="62">
        <f>VLOOKUP(B4055,合并仓明细!$D$2:$F$74,3,0)</f>
        <v>49</v>
      </c>
      <c r="D4055" s="122" t="s">
        <v>393</v>
      </c>
      <c r="E4055" s="123">
        <v>46003</v>
      </c>
      <c r="F4055" s="121" t="s">
        <v>67</v>
      </c>
      <c r="G4055" s="121">
        <v>2681.44</v>
      </c>
      <c r="H4055" s="124"/>
      <c r="I4055" s="125"/>
      <c r="J4055" s="125"/>
      <c r="K4055" s="125"/>
      <c r="L4055" s="121"/>
      <c r="M4055" s="126"/>
      <c r="N4055" s="121"/>
    </row>
    <row r="4056" spans="1:14" x14ac:dyDescent="0.25">
      <c r="A4056" s="121" t="s">
        <v>241</v>
      </c>
      <c r="B4056" s="121" t="s">
        <v>174</v>
      </c>
      <c r="C4056" s="62">
        <f>VLOOKUP(B4056,合并仓明细!$D$2:$F$74,3,0)</f>
        <v>49</v>
      </c>
      <c r="D4056" s="122" t="s">
        <v>393</v>
      </c>
      <c r="E4056" s="123">
        <v>46003</v>
      </c>
      <c r="F4056" s="121" t="s">
        <v>66</v>
      </c>
      <c r="G4056" s="121">
        <v>375.72000000000008</v>
      </c>
      <c r="H4056" s="124"/>
      <c r="I4056" s="125"/>
      <c r="J4056" s="125"/>
      <c r="K4056" s="125"/>
      <c r="L4056" s="121"/>
      <c r="M4056" s="126"/>
      <c r="N4056" s="121"/>
    </row>
    <row r="4057" spans="1:14" x14ac:dyDescent="0.25">
      <c r="A4057" s="121" t="s">
        <v>241</v>
      </c>
      <c r="B4057" s="121" t="s">
        <v>174</v>
      </c>
      <c r="C4057" s="62">
        <f>VLOOKUP(B4057,合并仓明细!$D$2:$F$74,3,0)</f>
        <v>49</v>
      </c>
      <c r="D4057" s="122" t="s">
        <v>393</v>
      </c>
      <c r="E4057" s="123">
        <v>46006</v>
      </c>
      <c r="F4057" s="121" t="s">
        <v>68</v>
      </c>
      <c r="G4057" s="121">
        <v>114.94</v>
      </c>
      <c r="H4057" s="124">
        <v>1.5947750000100003</v>
      </c>
      <c r="I4057" s="46">
        <f>ROUNDUP(H4057/30,0)*VLOOKUP(D4057,'报价表-配送'!$B$61:$I$65,8,0)</f>
        <v>0</v>
      </c>
      <c r="J4057" s="125"/>
      <c r="K4057" s="125"/>
      <c r="L4057" s="121"/>
      <c r="M4057" s="126"/>
      <c r="N4057" s="127">
        <f t="shared" ref="N4057" si="420">SUM(I4057:L4057)</f>
        <v>0</v>
      </c>
    </row>
    <row r="4058" spans="1:14" x14ac:dyDescent="0.25">
      <c r="A4058" s="121" t="s">
        <v>241</v>
      </c>
      <c r="B4058" s="121" t="s">
        <v>174</v>
      </c>
      <c r="C4058" s="62">
        <f>VLOOKUP(B4058,合并仓明细!$D$2:$F$74,3,0)</f>
        <v>49</v>
      </c>
      <c r="D4058" s="122" t="s">
        <v>393</v>
      </c>
      <c r="E4058" s="123">
        <v>46006</v>
      </c>
      <c r="F4058" s="121" t="s">
        <v>67</v>
      </c>
      <c r="G4058" s="121">
        <v>121.24000000000001</v>
      </c>
      <c r="H4058" s="124"/>
      <c r="I4058" s="125"/>
      <c r="J4058" s="125"/>
      <c r="K4058" s="125"/>
      <c r="L4058" s="121"/>
      <c r="M4058" s="126"/>
      <c r="N4058" s="121"/>
    </row>
    <row r="4059" spans="1:14" x14ac:dyDescent="0.25">
      <c r="A4059" s="121" t="s">
        <v>241</v>
      </c>
      <c r="B4059" s="121" t="s">
        <v>174</v>
      </c>
      <c r="C4059" s="62">
        <f>VLOOKUP(B4059,合并仓明细!$D$2:$F$74,3,0)</f>
        <v>49</v>
      </c>
      <c r="D4059" s="122" t="s">
        <v>393</v>
      </c>
      <c r="E4059" s="123">
        <v>46006</v>
      </c>
      <c r="F4059" s="121" t="s">
        <v>66</v>
      </c>
      <c r="G4059" s="121">
        <v>1358.5950000100001</v>
      </c>
      <c r="H4059" s="124"/>
      <c r="I4059" s="125"/>
      <c r="J4059" s="125"/>
      <c r="K4059" s="125"/>
      <c r="L4059" s="121"/>
      <c r="M4059" s="126"/>
      <c r="N4059" s="121"/>
    </row>
    <row r="4060" spans="1:14" x14ac:dyDescent="0.25">
      <c r="A4060" s="121" t="s">
        <v>241</v>
      </c>
      <c r="B4060" s="121" t="s">
        <v>174</v>
      </c>
      <c r="C4060" s="62">
        <f>VLOOKUP(B4060,合并仓明细!$D$2:$F$74,3,0)</f>
        <v>49</v>
      </c>
      <c r="D4060" s="122" t="s">
        <v>393</v>
      </c>
      <c r="E4060" s="123">
        <v>46008</v>
      </c>
      <c r="F4060" s="121" t="s">
        <v>67</v>
      </c>
      <c r="G4060" s="121">
        <v>4533.88</v>
      </c>
      <c r="H4060" s="124">
        <v>4.8419612500000007</v>
      </c>
      <c r="I4060" s="38">
        <f>IF(H4060&gt;30,QUOTIENT(H4060,30)*VLOOKUP(D4060,'报价表-配送'!$B$61:$I$65,8,0),0)+IF(AND(MOD(H4060,30)&gt;18,MOD(H4060,30)&lt;=30),1,0)*VLOOKUP(D4060,'报价表-配送'!$B$61:$I$65,8,0)</f>
        <v>0</v>
      </c>
      <c r="J4060" s="38">
        <f>IF(AND(MOD(H4060,30)&gt;8,MOD(H4060,30)&lt;=18),1*VLOOKUP(D4060,'报价表-配送'!$B$61:$I$65,7,0),0)</f>
        <v>0</v>
      </c>
      <c r="K4060" s="38">
        <f>IF(AND(MOD(H4060,30)&lt;=8,MOD(H4060,30)&gt;0),1,0)*VLOOKUP(D4060,'报价表-配送'!$B$61:$I$65,6,0)</f>
        <v>0</v>
      </c>
      <c r="L4060" s="121"/>
      <c r="M4060" s="126"/>
      <c r="N4060" s="127">
        <f t="shared" ref="N4060" si="421">SUM(I4060:L4060)</f>
        <v>0</v>
      </c>
    </row>
    <row r="4061" spans="1:14" x14ac:dyDescent="0.25">
      <c r="A4061" s="121" t="s">
        <v>241</v>
      </c>
      <c r="B4061" s="121" t="s">
        <v>174</v>
      </c>
      <c r="C4061" s="62">
        <f>VLOOKUP(B4061,合并仓明细!$D$2:$F$74,3,0)</f>
        <v>49</v>
      </c>
      <c r="D4061" s="122" t="s">
        <v>393</v>
      </c>
      <c r="E4061" s="123">
        <v>46008</v>
      </c>
      <c r="F4061" s="121" t="s">
        <v>66</v>
      </c>
      <c r="G4061" s="121">
        <v>308.0812499999999</v>
      </c>
      <c r="H4061" s="124"/>
      <c r="I4061" s="125"/>
      <c r="J4061" s="125"/>
      <c r="K4061" s="125"/>
      <c r="L4061" s="121"/>
      <c r="M4061" s="126"/>
      <c r="N4061" s="121"/>
    </row>
    <row r="4062" spans="1:14" x14ac:dyDescent="0.25">
      <c r="A4062" s="121" t="s">
        <v>241</v>
      </c>
      <c r="B4062" s="121" t="s">
        <v>174</v>
      </c>
      <c r="C4062" s="62">
        <f>VLOOKUP(B4062,合并仓明细!$D$2:$F$74,3,0)</f>
        <v>49</v>
      </c>
      <c r="D4062" s="122" t="s">
        <v>393</v>
      </c>
      <c r="E4062" s="123">
        <v>46009</v>
      </c>
      <c r="F4062" s="121" t="s">
        <v>68</v>
      </c>
      <c r="G4062" s="121">
        <v>383.09</v>
      </c>
      <c r="H4062" s="124">
        <v>3.2263354</v>
      </c>
      <c r="I4062" s="46">
        <f>ROUNDUP(H4062/30,0)*VLOOKUP(D4062,'报价表-配送'!$B$61:$I$65,8,0)</f>
        <v>0</v>
      </c>
      <c r="J4062" s="125"/>
      <c r="K4062" s="125"/>
      <c r="L4062" s="121"/>
      <c r="M4062" s="126"/>
      <c r="N4062" s="127">
        <f t="shared" ref="N4062" si="422">SUM(I4062:L4062)</f>
        <v>0</v>
      </c>
    </row>
    <row r="4063" spans="1:14" x14ac:dyDescent="0.25">
      <c r="A4063" s="121" t="s">
        <v>241</v>
      </c>
      <c r="B4063" s="121" t="s">
        <v>174</v>
      </c>
      <c r="C4063" s="62">
        <f>VLOOKUP(B4063,合并仓明细!$D$2:$F$74,3,0)</f>
        <v>49</v>
      </c>
      <c r="D4063" s="122" t="s">
        <v>393</v>
      </c>
      <c r="E4063" s="123">
        <v>46009</v>
      </c>
      <c r="F4063" s="121" t="s">
        <v>67</v>
      </c>
      <c r="G4063" s="121">
        <v>2008.5904</v>
      </c>
      <c r="H4063" s="124"/>
      <c r="I4063" s="125"/>
      <c r="J4063" s="125"/>
      <c r="K4063" s="125"/>
      <c r="L4063" s="121"/>
      <c r="M4063" s="126"/>
      <c r="N4063" s="121"/>
    </row>
    <row r="4064" spans="1:14" x14ac:dyDescent="0.25">
      <c r="A4064" s="121" t="s">
        <v>241</v>
      </c>
      <c r="B4064" s="121" t="s">
        <v>174</v>
      </c>
      <c r="C4064" s="62">
        <f>VLOOKUP(B4064,合并仓明细!$D$2:$F$74,3,0)</f>
        <v>49</v>
      </c>
      <c r="D4064" s="122" t="s">
        <v>393</v>
      </c>
      <c r="E4064" s="123">
        <v>46009</v>
      </c>
      <c r="F4064" s="121" t="s">
        <v>66</v>
      </c>
      <c r="G4064" s="121">
        <v>834.65499999999986</v>
      </c>
      <c r="H4064" s="124"/>
      <c r="I4064" s="125"/>
      <c r="J4064" s="125"/>
      <c r="K4064" s="125"/>
      <c r="L4064" s="121"/>
      <c r="M4064" s="126"/>
      <c r="N4064" s="121"/>
    </row>
    <row r="4065" spans="1:14" x14ac:dyDescent="0.25">
      <c r="A4065" s="121" t="s">
        <v>241</v>
      </c>
      <c r="B4065" s="121" t="s">
        <v>174</v>
      </c>
      <c r="C4065" s="62">
        <f>VLOOKUP(B4065,合并仓明细!$D$2:$F$74,3,0)</f>
        <v>49</v>
      </c>
      <c r="D4065" s="122" t="s">
        <v>393</v>
      </c>
      <c r="E4065" s="123">
        <v>46016</v>
      </c>
      <c r="F4065" s="121" t="s">
        <v>68</v>
      </c>
      <c r="G4065" s="121">
        <v>282.47000000000003</v>
      </c>
      <c r="H4065" s="124">
        <v>9.0270612499999991</v>
      </c>
      <c r="I4065" s="46">
        <f>ROUNDUP(H4065/30,0)*VLOOKUP(D4065,'报价表-配送'!$B$61:$I$65,8,0)</f>
        <v>0</v>
      </c>
      <c r="J4065" s="125"/>
      <c r="K4065" s="125"/>
      <c r="L4065" s="121"/>
      <c r="M4065" s="126"/>
      <c r="N4065" s="127">
        <f t="shared" ref="N4065" si="423">SUM(I4065:L4065)</f>
        <v>0</v>
      </c>
    </row>
    <row r="4066" spans="1:14" x14ac:dyDescent="0.25">
      <c r="A4066" s="121" t="s">
        <v>241</v>
      </c>
      <c r="B4066" s="121" t="s">
        <v>174</v>
      </c>
      <c r="C4066" s="62">
        <f>VLOOKUP(B4066,合并仓明细!$D$2:$F$74,3,0)</f>
        <v>49</v>
      </c>
      <c r="D4066" s="122" t="s">
        <v>393</v>
      </c>
      <c r="E4066" s="123">
        <v>46016</v>
      </c>
      <c r="F4066" s="121" t="s">
        <v>67</v>
      </c>
      <c r="G4066" s="121">
        <v>8358.4862499999999</v>
      </c>
      <c r="H4066" s="124"/>
      <c r="I4066" s="125"/>
      <c r="J4066" s="125"/>
      <c r="K4066" s="125"/>
      <c r="L4066" s="121"/>
      <c r="M4066" s="126"/>
      <c r="N4066" s="121"/>
    </row>
    <row r="4067" spans="1:14" x14ac:dyDescent="0.25">
      <c r="A4067" s="121" t="s">
        <v>241</v>
      </c>
      <c r="B4067" s="121" t="s">
        <v>174</v>
      </c>
      <c r="C4067" s="62">
        <f>VLOOKUP(B4067,合并仓明细!$D$2:$F$74,3,0)</f>
        <v>49</v>
      </c>
      <c r="D4067" s="122" t="s">
        <v>393</v>
      </c>
      <c r="E4067" s="123">
        <v>46016</v>
      </c>
      <c r="F4067" s="121" t="s">
        <v>66</v>
      </c>
      <c r="G4067" s="121">
        <v>386.10500000000002</v>
      </c>
      <c r="H4067" s="124"/>
      <c r="I4067" s="125"/>
      <c r="J4067" s="125"/>
      <c r="K4067" s="125"/>
      <c r="L4067" s="121"/>
      <c r="M4067" s="126"/>
      <c r="N4067" s="121"/>
    </row>
    <row r="4068" spans="1:14" x14ac:dyDescent="0.25">
      <c r="A4068" s="121" t="s">
        <v>241</v>
      </c>
      <c r="B4068" s="121" t="s">
        <v>174</v>
      </c>
      <c r="C4068" s="62">
        <f>VLOOKUP(B4068,合并仓明细!$D$2:$F$74,3,0)</f>
        <v>49</v>
      </c>
      <c r="D4068" s="122" t="s">
        <v>393</v>
      </c>
      <c r="E4068" s="123">
        <v>46029</v>
      </c>
      <c r="F4068" s="121" t="s">
        <v>68</v>
      </c>
      <c r="G4068" s="121">
        <v>800.5440000000001</v>
      </c>
      <c r="H4068" s="124">
        <v>19.26230226673</v>
      </c>
      <c r="I4068" s="46">
        <f>ROUNDUP(H4068/30,0)*VLOOKUP(D4068,'报价表-配送'!$B$61:$I$65,8,0)</f>
        <v>0</v>
      </c>
      <c r="J4068" s="125"/>
      <c r="K4068" s="125"/>
      <c r="L4068" s="121"/>
      <c r="M4068" s="126"/>
      <c r="N4068" s="127">
        <f t="shared" ref="N4068" si="424">SUM(I4068:L4068)</f>
        <v>0</v>
      </c>
    </row>
    <row r="4069" spans="1:14" x14ac:dyDescent="0.25">
      <c r="A4069" s="121" t="s">
        <v>241</v>
      </c>
      <c r="B4069" s="121" t="s">
        <v>174</v>
      </c>
      <c r="C4069" s="62">
        <f>VLOOKUP(B4069,合并仓明细!$D$2:$F$74,3,0)</f>
        <v>49</v>
      </c>
      <c r="D4069" s="122" t="s">
        <v>393</v>
      </c>
      <c r="E4069" s="123">
        <v>46029</v>
      </c>
      <c r="F4069" s="121" t="s">
        <v>67</v>
      </c>
      <c r="G4069" s="121">
        <v>16277.039099999998</v>
      </c>
      <c r="H4069" s="124"/>
      <c r="I4069" s="125"/>
      <c r="J4069" s="125"/>
      <c r="K4069" s="125"/>
      <c r="L4069" s="121"/>
      <c r="M4069" s="126"/>
      <c r="N4069" s="121"/>
    </row>
    <row r="4070" spans="1:14" x14ac:dyDescent="0.25">
      <c r="A4070" s="121" t="s">
        <v>241</v>
      </c>
      <c r="B4070" s="121" t="s">
        <v>174</v>
      </c>
      <c r="C4070" s="62">
        <f>VLOOKUP(B4070,合并仓明细!$D$2:$F$74,3,0)</f>
        <v>49</v>
      </c>
      <c r="D4070" s="122" t="s">
        <v>393</v>
      </c>
      <c r="E4070" s="123">
        <v>46029</v>
      </c>
      <c r="F4070" s="121" t="s">
        <v>66</v>
      </c>
      <c r="G4070" s="121">
        <v>2184.7191667299999</v>
      </c>
      <c r="H4070" s="124"/>
      <c r="I4070" s="125"/>
      <c r="J4070" s="125"/>
      <c r="K4070" s="125"/>
      <c r="L4070" s="121"/>
      <c r="M4070" s="126"/>
      <c r="N4070" s="121"/>
    </row>
    <row r="4071" spans="1:14" x14ac:dyDescent="0.25">
      <c r="A4071" s="121" t="s">
        <v>241</v>
      </c>
      <c r="B4071" s="121" t="s">
        <v>174</v>
      </c>
      <c r="C4071" s="62">
        <f>VLOOKUP(B4071,合并仓明细!$D$2:$F$74,3,0)</f>
        <v>49</v>
      </c>
      <c r="D4071" s="122" t="s">
        <v>393</v>
      </c>
      <c r="E4071" s="123">
        <v>46030</v>
      </c>
      <c r="F4071" s="121" t="s">
        <v>68</v>
      </c>
      <c r="G4071" s="121">
        <v>78.551999999999992</v>
      </c>
      <c r="H4071" s="124">
        <v>11.121259551970002</v>
      </c>
      <c r="I4071" s="46">
        <f>ROUNDUP(H4071/30,0)*VLOOKUP(D4071,'报价表-配送'!$B$61:$I$65,8,0)</f>
        <v>0</v>
      </c>
      <c r="J4071" s="125"/>
      <c r="K4071" s="125"/>
      <c r="L4071" s="121"/>
      <c r="M4071" s="126"/>
      <c r="N4071" s="127">
        <f t="shared" ref="N4071" si="425">SUM(I4071:L4071)</f>
        <v>0</v>
      </c>
    </row>
    <row r="4072" spans="1:14" x14ac:dyDescent="0.25">
      <c r="A4072" s="121" t="s">
        <v>241</v>
      </c>
      <c r="B4072" s="121" t="s">
        <v>174</v>
      </c>
      <c r="C4072" s="62">
        <f>VLOOKUP(B4072,合并仓明细!$D$2:$F$74,3,0)</f>
        <v>49</v>
      </c>
      <c r="D4072" s="122" t="s">
        <v>393</v>
      </c>
      <c r="E4072" s="123">
        <v>46030</v>
      </c>
      <c r="F4072" s="121" t="s">
        <v>67</v>
      </c>
      <c r="G4072" s="121">
        <v>10560.999552000003</v>
      </c>
      <c r="H4072" s="124"/>
      <c r="I4072" s="125"/>
      <c r="J4072" s="125"/>
      <c r="K4072" s="125"/>
      <c r="L4072" s="121"/>
      <c r="M4072" s="126"/>
      <c r="N4072" s="121"/>
    </row>
    <row r="4073" spans="1:14" x14ac:dyDescent="0.25">
      <c r="A4073" s="121" t="s">
        <v>241</v>
      </c>
      <c r="B4073" s="121" t="s">
        <v>174</v>
      </c>
      <c r="C4073" s="62">
        <f>VLOOKUP(B4073,合并仓明细!$D$2:$F$74,3,0)</f>
        <v>49</v>
      </c>
      <c r="D4073" s="122" t="s">
        <v>393</v>
      </c>
      <c r="E4073" s="123">
        <v>46030</v>
      </c>
      <c r="F4073" s="121" t="s">
        <v>66</v>
      </c>
      <c r="G4073" s="121">
        <v>481.70799996999995</v>
      </c>
      <c r="H4073" s="124"/>
      <c r="I4073" s="125"/>
      <c r="J4073" s="125"/>
      <c r="K4073" s="125"/>
      <c r="L4073" s="121"/>
      <c r="M4073" s="126"/>
      <c r="N4073" s="121"/>
    </row>
    <row r="4074" spans="1:14" x14ac:dyDescent="0.25">
      <c r="A4074" s="121" t="s">
        <v>241</v>
      </c>
      <c r="B4074" s="121" t="s">
        <v>174</v>
      </c>
      <c r="C4074" s="62">
        <f>VLOOKUP(B4074,合并仓明细!$D$2:$F$74,3,0)</f>
        <v>49</v>
      </c>
      <c r="D4074" s="122" t="s">
        <v>393</v>
      </c>
      <c r="E4074" s="123">
        <v>46036</v>
      </c>
      <c r="F4074" s="121" t="s">
        <v>67</v>
      </c>
      <c r="G4074" s="121">
        <v>1273.14564</v>
      </c>
      <c r="H4074" s="124">
        <v>1.5125412650000001</v>
      </c>
      <c r="I4074" s="38">
        <f>IF(H4074&gt;30,QUOTIENT(H4074,30)*VLOOKUP(D4074,'报价表-配送'!$B$61:$I$65,8,0),0)+IF(AND(MOD(H4074,30)&gt;18,MOD(H4074,30)&lt;=30),1,0)*VLOOKUP(D4074,'报价表-配送'!$B$61:$I$65,8,0)</f>
        <v>0</v>
      </c>
      <c r="J4074" s="38">
        <f>IF(AND(MOD(H4074,30)&gt;8,MOD(H4074,30)&lt;=18),1*VLOOKUP(D4074,'报价表-配送'!$B$61:$I$65,7,0),0)</f>
        <v>0</v>
      </c>
      <c r="K4074" s="38">
        <f>IF(AND(MOD(H4074,30)&lt;=8,MOD(H4074,30)&gt;0),1,0)*VLOOKUP(D4074,'报价表-配送'!$B$61:$I$65,6,0)</f>
        <v>0</v>
      </c>
      <c r="L4074" s="121"/>
      <c r="M4074" s="126"/>
      <c r="N4074" s="127">
        <f t="shared" ref="N4074" si="426">SUM(I4074:L4074)</f>
        <v>0</v>
      </c>
    </row>
    <row r="4075" spans="1:14" x14ac:dyDescent="0.25">
      <c r="A4075" s="121" t="s">
        <v>241</v>
      </c>
      <c r="B4075" s="121" t="s">
        <v>174</v>
      </c>
      <c r="C4075" s="62">
        <f>VLOOKUP(B4075,合并仓明细!$D$2:$F$74,3,0)</f>
        <v>49</v>
      </c>
      <c r="D4075" s="122" t="s">
        <v>393</v>
      </c>
      <c r="E4075" s="123">
        <v>46036</v>
      </c>
      <c r="F4075" s="121" t="s">
        <v>66</v>
      </c>
      <c r="G4075" s="121">
        <v>239.39562500000002</v>
      </c>
      <c r="H4075" s="124"/>
      <c r="I4075" s="125"/>
      <c r="J4075" s="125"/>
      <c r="K4075" s="125"/>
      <c r="L4075" s="121"/>
      <c r="M4075" s="126"/>
      <c r="N4075" s="121"/>
    </row>
    <row r="4076" spans="1:14" x14ac:dyDescent="0.25">
      <c r="A4076" s="121" t="s">
        <v>241</v>
      </c>
      <c r="B4076" s="121" t="s">
        <v>174</v>
      </c>
      <c r="C4076" s="62">
        <f>VLOOKUP(B4076,合并仓明细!$D$2:$F$74,3,0)</f>
        <v>49</v>
      </c>
      <c r="D4076" s="122" t="s">
        <v>393</v>
      </c>
      <c r="E4076" s="123">
        <v>46038</v>
      </c>
      <c r="F4076" s="121" t="s">
        <v>66</v>
      </c>
      <c r="G4076" s="121">
        <v>167.36566666000002</v>
      </c>
      <c r="H4076" s="124">
        <v>0.16736566666000002</v>
      </c>
      <c r="I4076" s="125"/>
      <c r="J4076" s="125"/>
      <c r="K4076" s="125"/>
      <c r="L4076" s="37">
        <f>IF(H4076&gt;30,QUOTIENT(H4076,30)*VLOOKUP(D4076,'报价表-配送'!$B$61:$I$65,8,0),0)+IF(AND(MOD(H4076,30)&gt;18,MOD(H4076,30)&lt;=30),1,0)*VLOOKUP(D4076,'报价表-配送'!$B$61:$I$65,8,0)+IF(AND(MOD(H4076,30)&gt;8,MOD(H4076,30)&lt;=18),1*VLOOKUP(D4076,'报价表-配送'!$B$61:$I$65,7,0),0)+IF(AND(MOD(H4076,30)&lt;=8,MOD(H4076,30)&gt;2.5),1,0)*VLOOKUP(D4076,'报价表-配送'!$B$61:$I$65,6,0)+IF(AND(MOD(H4076,30)&lt;=2.5,MOD(H4076,30)&gt;=1.5),1,0)*VLOOKUP(D4076,'报价表-配送'!$B$61:$I$65,5,0)</f>
        <v>0</v>
      </c>
      <c r="M4076" s="39">
        <f>IF(AND(MOD(H4076,30)&lt;1.5,MOD(H4076,30)&gt;=0.5),H4076,0)*VLOOKUP(D4076,'报价表-配送'!$B$61:$I$65,4,0)*1000+IF(AND(MOD(H4076,30)&lt;0.5,MOD(H4076,30)&gt;=0.02),H4076,0)*VLOOKUP(D4076,'报价表-配送'!$B$61:$I$65,3,0)*1000+IF(AND(MOD(H4076,30)&lt;0.02),H4076,0)*VLOOKUP(D4076,'报价表-配送'!$B$61:$I$65,2,0)*1000</f>
        <v>0</v>
      </c>
      <c r="N4076" s="127">
        <f t="shared" ref="N4076:N4077" si="427">SUM(I4076:L4076)</f>
        <v>0</v>
      </c>
    </row>
    <row r="4077" spans="1:14" x14ac:dyDescent="0.25">
      <c r="A4077" s="121" t="s">
        <v>241</v>
      </c>
      <c r="B4077" s="121" t="s">
        <v>174</v>
      </c>
      <c r="C4077" s="62">
        <f>VLOOKUP(B4077,合并仓明细!$D$2:$F$74,3,0)</f>
        <v>49</v>
      </c>
      <c r="D4077" s="122" t="s">
        <v>393</v>
      </c>
      <c r="E4077" s="123">
        <v>46050</v>
      </c>
      <c r="F4077" s="121" t="s">
        <v>68</v>
      </c>
      <c r="G4077" s="121">
        <v>3337.0904400000004</v>
      </c>
      <c r="H4077" s="124">
        <v>10.01816893797</v>
      </c>
      <c r="I4077" s="46">
        <f>ROUNDUP(H4077/30,0)*VLOOKUP(D4077,'报价表-配送'!$B$61:$I$65,8,0)</f>
        <v>0</v>
      </c>
      <c r="J4077" s="125"/>
      <c r="K4077" s="125"/>
      <c r="L4077" s="121"/>
      <c r="M4077" s="126"/>
      <c r="N4077" s="127">
        <f t="shared" si="427"/>
        <v>0</v>
      </c>
    </row>
    <row r="4078" spans="1:14" x14ac:dyDescent="0.25">
      <c r="A4078" s="121" t="s">
        <v>241</v>
      </c>
      <c r="B4078" s="121" t="s">
        <v>174</v>
      </c>
      <c r="C4078" s="62">
        <f>VLOOKUP(B4078,合并仓明细!$D$2:$F$74,3,0)</f>
        <v>49</v>
      </c>
      <c r="D4078" s="122" t="s">
        <v>393</v>
      </c>
      <c r="E4078" s="123">
        <v>46050</v>
      </c>
      <c r="F4078" s="121" t="s">
        <v>67</v>
      </c>
      <c r="G4078" s="121">
        <v>6211.331298000001</v>
      </c>
      <c r="H4078" s="124"/>
      <c r="I4078" s="125"/>
      <c r="J4078" s="125"/>
      <c r="K4078" s="125"/>
      <c r="L4078" s="121"/>
      <c r="M4078" s="126"/>
      <c r="N4078" s="121"/>
    </row>
    <row r="4079" spans="1:14" x14ac:dyDescent="0.25">
      <c r="A4079" s="121" t="s">
        <v>241</v>
      </c>
      <c r="B4079" s="121" t="s">
        <v>174</v>
      </c>
      <c r="C4079" s="62">
        <f>VLOOKUP(B4079,合并仓明细!$D$2:$F$74,3,0)</f>
        <v>49</v>
      </c>
      <c r="D4079" s="122" t="s">
        <v>393</v>
      </c>
      <c r="E4079" s="123">
        <v>46050</v>
      </c>
      <c r="F4079" s="121" t="s">
        <v>66</v>
      </c>
      <c r="G4079" s="121">
        <v>469.74719997</v>
      </c>
      <c r="H4079" s="124"/>
      <c r="I4079" s="125"/>
      <c r="J4079" s="125"/>
      <c r="K4079" s="125"/>
      <c r="L4079" s="121"/>
      <c r="M4079" s="126"/>
      <c r="N4079" s="121"/>
    </row>
    <row r="4080" spans="1:14" x14ac:dyDescent="0.25">
      <c r="A4080" s="121" t="s">
        <v>241</v>
      </c>
      <c r="B4080" s="121" t="s">
        <v>174</v>
      </c>
      <c r="C4080" s="62">
        <f>VLOOKUP(B4080,合并仓明细!$D$2:$F$74,3,0)</f>
        <v>49</v>
      </c>
      <c r="D4080" s="122" t="s">
        <v>393</v>
      </c>
      <c r="E4080" s="123">
        <v>46057</v>
      </c>
      <c r="F4080" s="121" t="s">
        <v>67</v>
      </c>
      <c r="G4080" s="121">
        <v>21228.032753999996</v>
      </c>
      <c r="H4080" s="124">
        <v>22.654070837309995</v>
      </c>
      <c r="I4080" s="38">
        <f>IF(H4080&gt;30,QUOTIENT(H4080,30)*VLOOKUP(D4080,'报价表-配送'!$B$61:$I$65,8,0),0)+IF(AND(MOD(H4080,30)&gt;18,MOD(H4080,30)&lt;=30),1,0)*VLOOKUP(D4080,'报价表-配送'!$B$61:$I$65,8,0)</f>
        <v>0</v>
      </c>
      <c r="J4080" s="38">
        <f>IF(AND(MOD(H4080,30)&gt;8,MOD(H4080,30)&lt;=18),1*VLOOKUP(D4080,'报价表-配送'!$B$61:$I$65,7,0),0)</f>
        <v>0</v>
      </c>
      <c r="K4080" s="38">
        <f>IF(AND(MOD(H4080,30)&lt;=8,MOD(H4080,30)&gt;0),1,0)*VLOOKUP(D4080,'报价表-配送'!$B$61:$I$65,6,0)</f>
        <v>0</v>
      </c>
      <c r="L4080" s="121"/>
      <c r="M4080" s="126"/>
      <c r="N4080" s="127">
        <f t="shared" ref="N4080" si="428">SUM(I4080:L4080)</f>
        <v>0</v>
      </c>
    </row>
    <row r="4081" spans="1:14" x14ac:dyDescent="0.25">
      <c r="A4081" s="121" t="s">
        <v>241</v>
      </c>
      <c r="B4081" s="121" t="s">
        <v>174</v>
      </c>
      <c r="C4081" s="62">
        <f>VLOOKUP(B4081,合并仓明细!$D$2:$F$74,3,0)</f>
        <v>49</v>
      </c>
      <c r="D4081" s="122" t="s">
        <v>393</v>
      </c>
      <c r="E4081" s="123">
        <v>46057</v>
      </c>
      <c r="F4081" s="121" t="s">
        <v>66</v>
      </c>
      <c r="G4081" s="121">
        <v>1426.0380833099998</v>
      </c>
      <c r="H4081" s="124"/>
      <c r="I4081" s="125"/>
      <c r="J4081" s="125"/>
      <c r="K4081" s="125"/>
      <c r="L4081" s="121"/>
      <c r="M4081" s="126"/>
      <c r="N4081" s="121"/>
    </row>
    <row r="4082" spans="1:14" x14ac:dyDescent="0.25">
      <c r="A4082" s="121" t="s">
        <v>241</v>
      </c>
      <c r="B4082" s="121" t="s">
        <v>174</v>
      </c>
      <c r="C4082" s="62">
        <f>VLOOKUP(B4082,合并仓明细!$D$2:$F$74,3,0)</f>
        <v>49</v>
      </c>
      <c r="D4082" s="122" t="s">
        <v>393</v>
      </c>
      <c r="E4082" s="123">
        <v>46086</v>
      </c>
      <c r="F4082" s="121" t="s">
        <v>68</v>
      </c>
      <c r="G4082" s="121">
        <v>3340.5720000000001</v>
      </c>
      <c r="H4082" s="124">
        <v>3.63129033333</v>
      </c>
      <c r="I4082" s="46">
        <f>ROUNDUP(H4082/30,0)*VLOOKUP(D4082,'报价表-配送'!$B$61:$I$65,8,0)</f>
        <v>0</v>
      </c>
      <c r="J4082" s="125"/>
      <c r="K4082" s="125"/>
      <c r="L4082" s="121"/>
      <c r="M4082" s="126"/>
      <c r="N4082" s="127">
        <f t="shared" ref="N4082" si="429">SUM(I4082:L4082)</f>
        <v>0</v>
      </c>
    </row>
    <row r="4083" spans="1:14" x14ac:dyDescent="0.25">
      <c r="A4083" s="121" t="s">
        <v>241</v>
      </c>
      <c r="B4083" s="121" t="s">
        <v>174</v>
      </c>
      <c r="C4083" s="62">
        <f>VLOOKUP(B4083,合并仓明细!$D$2:$F$74,3,0)</f>
        <v>49</v>
      </c>
      <c r="D4083" s="122" t="s">
        <v>393</v>
      </c>
      <c r="E4083" s="123">
        <v>46086</v>
      </c>
      <c r="F4083" s="121" t="s">
        <v>66</v>
      </c>
      <c r="G4083" s="121">
        <v>290.71833332999995</v>
      </c>
      <c r="H4083" s="124"/>
      <c r="I4083" s="125"/>
      <c r="J4083" s="125"/>
      <c r="K4083" s="125"/>
      <c r="L4083" s="121"/>
      <c r="M4083" s="126"/>
      <c r="N4083" s="121"/>
    </row>
    <row r="4084" spans="1:14" x14ac:dyDescent="0.25">
      <c r="A4084" s="121" t="s">
        <v>241</v>
      </c>
      <c r="B4084" s="121" t="s">
        <v>174</v>
      </c>
      <c r="C4084" s="62">
        <f>VLOOKUP(B4084,合并仓明细!$D$2:$F$74,3,0)</f>
        <v>49</v>
      </c>
      <c r="D4084" s="122" t="s">
        <v>393</v>
      </c>
      <c r="E4084" s="123">
        <v>46090</v>
      </c>
      <c r="F4084" s="121" t="s">
        <v>68</v>
      </c>
      <c r="G4084" s="121">
        <v>3554.8067999999998</v>
      </c>
      <c r="H4084" s="124">
        <v>3.7628558929999998</v>
      </c>
      <c r="I4084" s="46">
        <f>ROUNDUP(H4084/30,0)*VLOOKUP(D4084,'报价表-配送'!$B$61:$I$65,8,0)</f>
        <v>0</v>
      </c>
      <c r="J4084" s="125"/>
      <c r="K4084" s="125"/>
      <c r="L4084" s="121"/>
      <c r="M4084" s="126"/>
      <c r="N4084" s="127">
        <f t="shared" ref="N4084" si="430">SUM(I4084:L4084)</f>
        <v>0</v>
      </c>
    </row>
    <row r="4085" spans="1:14" x14ac:dyDescent="0.25">
      <c r="A4085" s="121" t="s">
        <v>241</v>
      </c>
      <c r="B4085" s="121" t="s">
        <v>174</v>
      </c>
      <c r="C4085" s="62">
        <f>VLOOKUP(B4085,合并仓明细!$D$2:$F$74,3,0)</f>
        <v>49</v>
      </c>
      <c r="D4085" s="122" t="s">
        <v>393</v>
      </c>
      <c r="E4085" s="123">
        <v>46090</v>
      </c>
      <c r="F4085" s="121" t="s">
        <v>67</v>
      </c>
      <c r="G4085" s="121">
        <v>40.048560000000002</v>
      </c>
      <c r="H4085" s="124"/>
      <c r="I4085" s="125"/>
      <c r="J4085" s="125"/>
      <c r="K4085" s="125"/>
      <c r="L4085" s="121"/>
      <c r="M4085" s="126"/>
      <c r="N4085" s="121"/>
    </row>
    <row r="4086" spans="1:14" x14ac:dyDescent="0.25">
      <c r="A4086" s="121" t="s">
        <v>241</v>
      </c>
      <c r="B4086" s="121" t="s">
        <v>174</v>
      </c>
      <c r="C4086" s="62">
        <f>VLOOKUP(B4086,合并仓明细!$D$2:$F$74,3,0)</f>
        <v>49</v>
      </c>
      <c r="D4086" s="122" t="s">
        <v>393</v>
      </c>
      <c r="E4086" s="123">
        <v>46090</v>
      </c>
      <c r="F4086" s="121" t="s">
        <v>66</v>
      </c>
      <c r="G4086" s="121">
        <v>168.00053300000002</v>
      </c>
      <c r="H4086" s="124"/>
      <c r="I4086" s="125"/>
      <c r="J4086" s="125"/>
      <c r="K4086" s="125"/>
      <c r="L4086" s="121"/>
      <c r="M4086" s="126"/>
      <c r="N4086" s="121"/>
    </row>
    <row r="4087" spans="1:14" x14ac:dyDescent="0.25">
      <c r="A4087" s="121" t="s">
        <v>241</v>
      </c>
      <c r="B4087" s="121" t="s">
        <v>174</v>
      </c>
      <c r="C4087" s="62">
        <f>VLOOKUP(B4087,合并仓明细!$D$2:$F$74,3,0)</f>
        <v>49</v>
      </c>
      <c r="D4087" s="122" t="s">
        <v>393</v>
      </c>
      <c r="E4087" s="123">
        <v>46092</v>
      </c>
      <c r="F4087" s="121" t="s">
        <v>68</v>
      </c>
      <c r="G4087" s="121">
        <v>3905.92488</v>
      </c>
      <c r="H4087" s="124">
        <v>23.410565042710001</v>
      </c>
      <c r="I4087" s="46">
        <f>ROUNDUP(H4087/30,0)*VLOOKUP(D4087,'报价表-配送'!$B$61:$I$65,8,0)</f>
        <v>0</v>
      </c>
      <c r="J4087" s="125"/>
      <c r="K4087" s="125"/>
      <c r="L4087" s="121"/>
      <c r="M4087" s="126"/>
      <c r="N4087" s="127">
        <f t="shared" ref="N4087" si="431">SUM(I4087:L4087)</f>
        <v>0</v>
      </c>
    </row>
    <row r="4088" spans="1:14" x14ac:dyDescent="0.25">
      <c r="A4088" s="121" t="s">
        <v>241</v>
      </c>
      <c r="B4088" s="121" t="s">
        <v>174</v>
      </c>
      <c r="C4088" s="62">
        <f>VLOOKUP(B4088,合并仓明细!$D$2:$F$74,3,0)</f>
        <v>49</v>
      </c>
      <c r="D4088" s="122" t="s">
        <v>393</v>
      </c>
      <c r="E4088" s="123">
        <v>46092</v>
      </c>
      <c r="F4088" s="121" t="s">
        <v>67</v>
      </c>
      <c r="G4088" s="121">
        <v>18283.396830000002</v>
      </c>
      <c r="H4088" s="124"/>
      <c r="I4088" s="125"/>
      <c r="J4088" s="125"/>
      <c r="K4088" s="125"/>
      <c r="L4088" s="121"/>
      <c r="M4088" s="126"/>
      <c r="N4088" s="121"/>
    </row>
    <row r="4089" spans="1:14" x14ac:dyDescent="0.25">
      <c r="A4089" s="121" t="s">
        <v>241</v>
      </c>
      <c r="B4089" s="121" t="s">
        <v>174</v>
      </c>
      <c r="C4089" s="62">
        <f>VLOOKUP(B4089,合并仓明细!$D$2:$F$74,3,0)</f>
        <v>49</v>
      </c>
      <c r="D4089" s="122" t="s">
        <v>393</v>
      </c>
      <c r="E4089" s="123">
        <v>46092</v>
      </c>
      <c r="F4089" s="121" t="s">
        <v>66</v>
      </c>
      <c r="G4089" s="121">
        <v>1221.24333271</v>
      </c>
      <c r="H4089" s="124"/>
      <c r="I4089" s="125"/>
      <c r="J4089" s="125"/>
      <c r="K4089" s="125"/>
      <c r="L4089" s="121"/>
      <c r="M4089" s="126"/>
      <c r="N4089" s="121"/>
    </row>
    <row r="4090" spans="1:14" x14ac:dyDescent="0.25">
      <c r="A4090" s="121" t="s">
        <v>241</v>
      </c>
      <c r="B4090" s="121" t="s">
        <v>174</v>
      </c>
      <c r="C4090" s="62">
        <f>VLOOKUP(B4090,合并仓明细!$D$2:$F$74,3,0)</f>
        <v>49</v>
      </c>
      <c r="D4090" s="122" t="s">
        <v>393</v>
      </c>
      <c r="E4090" s="123">
        <v>46098</v>
      </c>
      <c r="F4090" s="121" t="s">
        <v>68</v>
      </c>
      <c r="G4090" s="121">
        <v>1.6285699999999999</v>
      </c>
      <c r="H4090" s="124">
        <v>0.13067945633</v>
      </c>
      <c r="I4090" s="46">
        <f>ROUNDUP(H4090/30,0)*VLOOKUP(D4090,'报价表-配送'!$B$61:$I$65,8,0)</f>
        <v>0</v>
      </c>
      <c r="J4090" s="125"/>
      <c r="K4090" s="125"/>
      <c r="L4090" s="121"/>
      <c r="M4090" s="126"/>
      <c r="N4090" s="127">
        <f t="shared" ref="N4090" si="432">SUM(I4090:L4090)</f>
        <v>0</v>
      </c>
    </row>
    <row r="4091" spans="1:14" x14ac:dyDescent="0.25">
      <c r="A4091" s="121" t="s">
        <v>241</v>
      </c>
      <c r="B4091" s="121" t="s">
        <v>174</v>
      </c>
      <c r="C4091" s="62">
        <f>VLOOKUP(B4091,合并仓明细!$D$2:$F$74,3,0)</f>
        <v>49</v>
      </c>
      <c r="D4091" s="122" t="s">
        <v>393</v>
      </c>
      <c r="E4091" s="123">
        <v>46098</v>
      </c>
      <c r="F4091" s="121" t="s">
        <v>67</v>
      </c>
      <c r="G4091" s="121">
        <v>33.449427999999997</v>
      </c>
      <c r="H4091" s="124"/>
      <c r="I4091" s="125"/>
      <c r="J4091" s="125"/>
      <c r="K4091" s="125"/>
      <c r="L4091" s="121"/>
      <c r="M4091" s="126"/>
      <c r="N4091" s="121"/>
    </row>
    <row r="4092" spans="1:14" x14ac:dyDescent="0.25">
      <c r="A4092" s="121" t="s">
        <v>241</v>
      </c>
      <c r="B4092" s="121" t="s">
        <v>174</v>
      </c>
      <c r="C4092" s="62">
        <f>VLOOKUP(B4092,合并仓明细!$D$2:$F$74,3,0)</f>
        <v>49</v>
      </c>
      <c r="D4092" s="122" t="s">
        <v>393</v>
      </c>
      <c r="E4092" s="123">
        <v>46098</v>
      </c>
      <c r="F4092" s="121" t="s">
        <v>66</v>
      </c>
      <c r="G4092" s="121">
        <v>95.60145833</v>
      </c>
      <c r="H4092" s="124"/>
      <c r="I4092" s="125"/>
      <c r="J4092" s="125"/>
      <c r="K4092" s="125"/>
      <c r="L4092" s="121"/>
      <c r="M4092" s="126"/>
      <c r="N4092" s="121"/>
    </row>
    <row r="4093" spans="1:14" x14ac:dyDescent="0.25">
      <c r="A4093" s="121" t="s">
        <v>241</v>
      </c>
      <c r="B4093" s="121" t="s">
        <v>174</v>
      </c>
      <c r="C4093" s="62">
        <f>VLOOKUP(B4093,合并仓明细!$D$2:$F$74,3,0)</f>
        <v>49</v>
      </c>
      <c r="D4093" s="122" t="s">
        <v>393</v>
      </c>
      <c r="E4093" s="123">
        <v>46099</v>
      </c>
      <c r="F4093" s="121" t="s">
        <v>66</v>
      </c>
      <c r="G4093" s="121">
        <v>87.279090920000016</v>
      </c>
      <c r="H4093" s="124">
        <v>8.727909092000001E-2</v>
      </c>
      <c r="I4093" s="125"/>
      <c r="J4093" s="125"/>
      <c r="K4093" s="125"/>
      <c r="L4093" s="37">
        <f>IF(H4093&gt;30,QUOTIENT(H4093,30)*VLOOKUP(D4093,'报价表-配送'!$B$61:$I$65,8,0),0)+IF(AND(MOD(H4093,30)&gt;18,MOD(H4093,30)&lt;=30),1,0)*VLOOKUP(D4093,'报价表-配送'!$B$61:$I$65,8,0)+IF(AND(MOD(H4093,30)&gt;8,MOD(H4093,30)&lt;=18),1*VLOOKUP(D4093,'报价表-配送'!$B$61:$I$65,7,0),0)+IF(AND(MOD(H4093,30)&lt;=8,MOD(H4093,30)&gt;2.5),1,0)*VLOOKUP(D4093,'报价表-配送'!$B$61:$I$65,6,0)+IF(AND(MOD(H4093,30)&lt;=2.5,MOD(H4093,30)&gt;=1.5),1,0)*VLOOKUP(D4093,'报价表-配送'!$B$61:$I$65,5,0)</f>
        <v>0</v>
      </c>
      <c r="M4093" s="39">
        <f>IF(AND(MOD(H4093,30)&lt;1.5,MOD(H4093,30)&gt;=0.5),H4093,0)*VLOOKUP(D4093,'报价表-配送'!$B$61:$I$65,4,0)*1000+IF(AND(MOD(H4093,30)&lt;0.5,MOD(H4093,30)&gt;=0.02),H4093,0)*VLOOKUP(D4093,'报价表-配送'!$B$61:$I$65,3,0)*1000+IF(AND(MOD(H4093,30)&lt;0.02),H4093,0)*VLOOKUP(D4093,'报价表-配送'!$B$61:$I$65,2,0)*1000</f>
        <v>0</v>
      </c>
      <c r="N4093" s="127">
        <f t="shared" ref="N4093:N4095" si="433">SUM(I4093:L4093)</f>
        <v>0</v>
      </c>
    </row>
    <row r="4094" spans="1:14" x14ac:dyDescent="0.25">
      <c r="A4094" s="121" t="s">
        <v>241</v>
      </c>
      <c r="B4094" s="121" t="s">
        <v>174</v>
      </c>
      <c r="C4094" s="62">
        <f>VLOOKUP(B4094,合并仓明细!$D$2:$F$74,3,0)</f>
        <v>49</v>
      </c>
      <c r="D4094" s="122" t="s">
        <v>393</v>
      </c>
      <c r="E4094" s="123">
        <v>46100</v>
      </c>
      <c r="F4094" s="121" t="s">
        <v>67</v>
      </c>
      <c r="G4094" s="121">
        <v>7580.1849900000007</v>
      </c>
      <c r="H4094" s="124">
        <v>7.5801849900000002</v>
      </c>
      <c r="I4094" s="38">
        <f>IF(H4094&gt;30,QUOTIENT(H4094,30)*VLOOKUP(D4094,'报价表-配送'!$B$61:$I$65,8,0),0)+IF(AND(MOD(H4094,30)&gt;18,MOD(H4094,30)&lt;=30),1,0)*VLOOKUP(D4094,'报价表-配送'!$B$61:$I$65,8,0)</f>
        <v>0</v>
      </c>
      <c r="J4094" s="38">
        <f>IF(AND(MOD(H4094,30)&gt;8,MOD(H4094,30)&lt;=18),1*VLOOKUP(D4094,'报价表-配送'!$B$61:$I$65,7,0),0)</f>
        <v>0</v>
      </c>
      <c r="K4094" s="38">
        <f>IF(AND(MOD(H4094,30)&lt;=8,MOD(H4094,30)&gt;0),1,0)*VLOOKUP(D4094,'报价表-配送'!$B$61:$I$65,6,0)</f>
        <v>0</v>
      </c>
      <c r="L4094" s="121"/>
      <c r="M4094" s="126"/>
      <c r="N4094" s="127">
        <f t="shared" si="433"/>
        <v>0</v>
      </c>
    </row>
    <row r="4095" spans="1:14" x14ac:dyDescent="0.25">
      <c r="A4095" s="121" t="s">
        <v>241</v>
      </c>
      <c r="B4095" s="121" t="s">
        <v>174</v>
      </c>
      <c r="C4095" s="62">
        <f>VLOOKUP(B4095,合并仓明细!$D$2:$F$74,3,0)</f>
        <v>49</v>
      </c>
      <c r="D4095" s="122" t="s">
        <v>393</v>
      </c>
      <c r="E4095" s="123">
        <v>46104</v>
      </c>
      <c r="F4095" s="121" t="s">
        <v>68</v>
      </c>
      <c r="G4095" s="121">
        <v>52.776000000000003</v>
      </c>
      <c r="H4095" s="124">
        <v>1.1247430538500001</v>
      </c>
      <c r="I4095" s="46">
        <f>ROUNDUP(H4095/30,0)*VLOOKUP(D4095,'报价表-配送'!$B$61:$I$65,8,0)</f>
        <v>0</v>
      </c>
      <c r="J4095" s="125"/>
      <c r="K4095" s="125"/>
      <c r="L4095" s="121"/>
      <c r="M4095" s="126"/>
      <c r="N4095" s="127">
        <f t="shared" si="433"/>
        <v>0</v>
      </c>
    </row>
    <row r="4096" spans="1:14" x14ac:dyDescent="0.25">
      <c r="A4096" s="121" t="s">
        <v>241</v>
      </c>
      <c r="B4096" s="121" t="s">
        <v>174</v>
      </c>
      <c r="C4096" s="62">
        <f>VLOOKUP(B4096,合并仓明细!$D$2:$F$74,3,0)</f>
        <v>49</v>
      </c>
      <c r="D4096" s="122" t="s">
        <v>393</v>
      </c>
      <c r="E4096" s="123">
        <v>46104</v>
      </c>
      <c r="F4096" s="121" t="s">
        <v>67</v>
      </c>
      <c r="G4096" s="121">
        <v>279.65340000000003</v>
      </c>
      <c r="H4096" s="124"/>
      <c r="I4096" s="125"/>
      <c r="J4096" s="125"/>
      <c r="K4096" s="125"/>
      <c r="L4096" s="121"/>
      <c r="M4096" s="126"/>
      <c r="N4096" s="121"/>
    </row>
    <row r="4097" spans="1:14" x14ac:dyDescent="0.25">
      <c r="A4097" s="121" t="s">
        <v>241</v>
      </c>
      <c r="B4097" s="121" t="s">
        <v>174</v>
      </c>
      <c r="C4097" s="62">
        <f>VLOOKUP(B4097,合并仓明细!$D$2:$F$74,3,0)</f>
        <v>49</v>
      </c>
      <c r="D4097" s="122" t="s">
        <v>393</v>
      </c>
      <c r="E4097" s="123">
        <v>46104</v>
      </c>
      <c r="F4097" s="121" t="s">
        <v>66</v>
      </c>
      <c r="G4097" s="121">
        <v>792.31365384999992</v>
      </c>
      <c r="H4097" s="124"/>
      <c r="I4097" s="125"/>
      <c r="J4097" s="125"/>
      <c r="K4097" s="125"/>
      <c r="L4097" s="121"/>
      <c r="M4097" s="126"/>
      <c r="N4097" s="121"/>
    </row>
    <row r="4098" spans="1:14" x14ac:dyDescent="0.25">
      <c r="A4098" s="121" t="s">
        <v>241</v>
      </c>
      <c r="B4098" s="121" t="s">
        <v>174</v>
      </c>
      <c r="C4098" s="62">
        <f>VLOOKUP(B4098,合并仓明细!$D$2:$F$74,3,0)</f>
        <v>49</v>
      </c>
      <c r="D4098" s="122" t="s">
        <v>393</v>
      </c>
      <c r="E4098" s="123">
        <v>46105</v>
      </c>
      <c r="F4098" s="121" t="s">
        <v>66</v>
      </c>
      <c r="G4098" s="121">
        <v>274.33</v>
      </c>
      <c r="H4098" s="124">
        <v>0.27432999999999996</v>
      </c>
      <c r="I4098" s="125"/>
      <c r="J4098" s="125"/>
      <c r="K4098" s="125"/>
      <c r="L4098" s="37">
        <f>IF(H4098&gt;30,QUOTIENT(H4098,30)*VLOOKUP(D4098,'报价表-配送'!$B$61:$I$65,8,0),0)+IF(AND(MOD(H4098,30)&gt;18,MOD(H4098,30)&lt;=30),1,0)*VLOOKUP(D4098,'报价表-配送'!$B$61:$I$65,8,0)+IF(AND(MOD(H4098,30)&gt;8,MOD(H4098,30)&lt;=18),1*VLOOKUP(D4098,'报价表-配送'!$B$61:$I$65,7,0),0)+IF(AND(MOD(H4098,30)&lt;=8,MOD(H4098,30)&gt;2.5),1,0)*VLOOKUP(D4098,'报价表-配送'!$B$61:$I$65,6,0)+IF(AND(MOD(H4098,30)&lt;=2.5,MOD(H4098,30)&gt;=1.5),1,0)*VLOOKUP(D4098,'报价表-配送'!$B$61:$I$65,5,0)</f>
        <v>0</v>
      </c>
      <c r="M4098" s="39">
        <f>IF(AND(MOD(H4098,30)&lt;1.5,MOD(H4098,30)&gt;=0.5),H4098,0)*VLOOKUP(D4098,'报价表-配送'!$B$61:$I$65,4,0)*1000+IF(AND(MOD(H4098,30)&lt;0.5,MOD(H4098,30)&gt;=0.02),H4098,0)*VLOOKUP(D4098,'报价表-配送'!$B$61:$I$65,3,0)*1000+IF(AND(MOD(H4098,30)&lt;0.02),H4098,0)*VLOOKUP(D4098,'报价表-配送'!$B$61:$I$65,2,0)*1000</f>
        <v>0</v>
      </c>
      <c r="N4098" s="127">
        <f t="shared" ref="N4098:N4099" si="434">SUM(I4098:L4098)</f>
        <v>0</v>
      </c>
    </row>
    <row r="4099" spans="1:14" x14ac:dyDescent="0.25">
      <c r="A4099" s="121" t="s">
        <v>241</v>
      </c>
      <c r="B4099" s="121" t="s">
        <v>175</v>
      </c>
      <c r="C4099" s="62">
        <f>VLOOKUP(B4099,合并仓明细!$D$2:$F$74,3,0)</f>
        <v>68</v>
      </c>
      <c r="D4099" s="122" t="s">
        <v>393</v>
      </c>
      <c r="E4099" s="123">
        <v>45944</v>
      </c>
      <c r="F4099" s="121" t="s">
        <v>68</v>
      </c>
      <c r="G4099" s="121">
        <v>1432.63932</v>
      </c>
      <c r="H4099" s="124">
        <v>5.6456053264599992</v>
      </c>
      <c r="I4099" s="46">
        <f>ROUNDUP(H4099/30,0)*VLOOKUP(D4099,'报价表-配送'!$B$61:$I$65,8,0)</f>
        <v>0</v>
      </c>
      <c r="J4099" s="125"/>
      <c r="K4099" s="125"/>
      <c r="L4099" s="121"/>
      <c r="M4099" s="126"/>
      <c r="N4099" s="127">
        <f t="shared" si="434"/>
        <v>0</v>
      </c>
    </row>
    <row r="4100" spans="1:14" x14ac:dyDescent="0.25">
      <c r="A4100" s="121" t="s">
        <v>241</v>
      </c>
      <c r="B4100" s="121" t="s">
        <v>175</v>
      </c>
      <c r="C4100" s="62">
        <f>VLOOKUP(B4100,合并仓明细!$D$2:$F$74,3,0)</f>
        <v>68</v>
      </c>
      <c r="D4100" s="122" t="s">
        <v>393</v>
      </c>
      <c r="E4100" s="123">
        <v>45944</v>
      </c>
      <c r="F4100" s="121" t="s">
        <v>67</v>
      </c>
      <c r="G4100" s="121">
        <v>2741.5685160000003</v>
      </c>
      <c r="H4100" s="124"/>
      <c r="I4100" s="125"/>
      <c r="J4100" s="125"/>
      <c r="K4100" s="125"/>
      <c r="L4100" s="121"/>
      <c r="M4100" s="126"/>
      <c r="N4100" s="121"/>
    </row>
    <row r="4101" spans="1:14" x14ac:dyDescent="0.25">
      <c r="A4101" s="121" t="s">
        <v>241</v>
      </c>
      <c r="B4101" s="121" t="s">
        <v>175</v>
      </c>
      <c r="C4101" s="62">
        <f>VLOOKUP(B4101,合并仓明细!$D$2:$F$74,3,0)</f>
        <v>68</v>
      </c>
      <c r="D4101" s="122" t="s">
        <v>393</v>
      </c>
      <c r="E4101" s="123">
        <v>45944</v>
      </c>
      <c r="F4101" s="121" t="s">
        <v>66</v>
      </c>
      <c r="G4101" s="121">
        <v>1471.3974904599993</v>
      </c>
      <c r="H4101" s="124"/>
      <c r="I4101" s="125"/>
      <c r="J4101" s="125"/>
      <c r="K4101" s="125"/>
      <c r="L4101" s="121"/>
      <c r="M4101" s="126"/>
      <c r="N4101" s="121"/>
    </row>
    <row r="4102" spans="1:14" x14ac:dyDescent="0.25">
      <c r="A4102" s="121" t="s">
        <v>241</v>
      </c>
      <c r="B4102" s="121" t="s">
        <v>175</v>
      </c>
      <c r="C4102" s="62">
        <f>VLOOKUP(B4102,合并仓明细!$D$2:$F$74,3,0)</f>
        <v>68</v>
      </c>
      <c r="D4102" s="122" t="s">
        <v>393</v>
      </c>
      <c r="E4102" s="123">
        <v>45950</v>
      </c>
      <c r="F4102" s="121" t="s">
        <v>68</v>
      </c>
      <c r="G4102" s="121">
        <v>633.11999999999989</v>
      </c>
      <c r="H4102" s="124">
        <v>3.4413996378999996</v>
      </c>
      <c r="I4102" s="46">
        <f>ROUNDUP(H4102/30,0)*VLOOKUP(D4102,'报价表-配送'!$B$61:$I$65,8,0)</f>
        <v>0</v>
      </c>
      <c r="J4102" s="125"/>
      <c r="K4102" s="125"/>
      <c r="L4102" s="121"/>
      <c r="M4102" s="126"/>
      <c r="N4102" s="127">
        <f t="shared" ref="N4102" si="435">SUM(I4102:L4102)</f>
        <v>0</v>
      </c>
    </row>
    <row r="4103" spans="1:14" x14ac:dyDescent="0.25">
      <c r="A4103" s="121" t="s">
        <v>241</v>
      </c>
      <c r="B4103" s="121" t="s">
        <v>175</v>
      </c>
      <c r="C4103" s="62">
        <f>VLOOKUP(B4103,合并仓明细!$D$2:$F$74,3,0)</f>
        <v>68</v>
      </c>
      <c r="D4103" s="122" t="s">
        <v>393</v>
      </c>
      <c r="E4103" s="123">
        <v>45950</v>
      </c>
      <c r="F4103" s="121" t="s">
        <v>67</v>
      </c>
      <c r="G4103" s="121">
        <v>2380.9837665</v>
      </c>
      <c r="H4103" s="124"/>
      <c r="I4103" s="125"/>
      <c r="J4103" s="125"/>
      <c r="K4103" s="125"/>
      <c r="L4103" s="121"/>
      <c r="M4103" s="126"/>
      <c r="N4103" s="121"/>
    </row>
    <row r="4104" spans="1:14" x14ac:dyDescent="0.25">
      <c r="A4104" s="121" t="s">
        <v>241</v>
      </c>
      <c r="B4104" s="121" t="s">
        <v>175</v>
      </c>
      <c r="C4104" s="62">
        <f>VLOOKUP(B4104,合并仓明细!$D$2:$F$74,3,0)</f>
        <v>68</v>
      </c>
      <c r="D4104" s="122" t="s">
        <v>393</v>
      </c>
      <c r="E4104" s="123">
        <v>45950</v>
      </c>
      <c r="F4104" s="121" t="s">
        <v>66</v>
      </c>
      <c r="G4104" s="121">
        <v>427.29587139999984</v>
      </c>
      <c r="H4104" s="124"/>
      <c r="I4104" s="125"/>
      <c r="J4104" s="125"/>
      <c r="K4104" s="125"/>
      <c r="L4104" s="121"/>
      <c r="M4104" s="126"/>
      <c r="N4104" s="121"/>
    </row>
    <row r="4105" spans="1:14" x14ac:dyDescent="0.25">
      <c r="A4105" s="121" t="s">
        <v>241</v>
      </c>
      <c r="B4105" s="121" t="s">
        <v>175</v>
      </c>
      <c r="C4105" s="62">
        <f>VLOOKUP(B4105,合并仓明细!$D$2:$F$74,3,0)</f>
        <v>68</v>
      </c>
      <c r="D4105" s="122" t="s">
        <v>393</v>
      </c>
      <c r="E4105" s="123">
        <v>45952</v>
      </c>
      <c r="F4105" s="121" t="s">
        <v>68</v>
      </c>
      <c r="G4105" s="121">
        <v>674.41991999999993</v>
      </c>
      <c r="H4105" s="124">
        <v>2.4546347061499998</v>
      </c>
      <c r="I4105" s="46">
        <f>ROUNDUP(H4105/30,0)*VLOOKUP(D4105,'报价表-配送'!$B$61:$I$65,8,0)</f>
        <v>0</v>
      </c>
      <c r="J4105" s="125"/>
      <c r="K4105" s="125"/>
      <c r="L4105" s="121"/>
      <c r="M4105" s="126"/>
      <c r="N4105" s="127">
        <f t="shared" ref="N4105" si="436">SUM(I4105:L4105)</f>
        <v>0</v>
      </c>
    </row>
    <row r="4106" spans="1:14" x14ac:dyDescent="0.25">
      <c r="A4106" s="121" t="s">
        <v>241</v>
      </c>
      <c r="B4106" s="121" t="s">
        <v>175</v>
      </c>
      <c r="C4106" s="62">
        <f>VLOOKUP(B4106,合并仓明细!$D$2:$F$74,3,0)</f>
        <v>68</v>
      </c>
      <c r="D4106" s="122" t="s">
        <v>393</v>
      </c>
      <c r="E4106" s="123">
        <v>45952</v>
      </c>
      <c r="F4106" s="121" t="s">
        <v>67</v>
      </c>
      <c r="G4106" s="121">
        <v>381.84954800000003</v>
      </c>
      <c r="H4106" s="124"/>
      <c r="I4106" s="125"/>
      <c r="J4106" s="125"/>
      <c r="K4106" s="125"/>
      <c r="L4106" s="121"/>
      <c r="M4106" s="126"/>
      <c r="N4106" s="121"/>
    </row>
    <row r="4107" spans="1:14" x14ac:dyDescent="0.25">
      <c r="A4107" s="121" t="s">
        <v>241</v>
      </c>
      <c r="B4107" s="121" t="s">
        <v>175</v>
      </c>
      <c r="C4107" s="62">
        <f>VLOOKUP(B4107,合并仓明细!$D$2:$F$74,3,0)</f>
        <v>68</v>
      </c>
      <c r="D4107" s="122" t="s">
        <v>393</v>
      </c>
      <c r="E4107" s="123">
        <v>45952</v>
      </c>
      <c r="F4107" s="121" t="s">
        <v>66</v>
      </c>
      <c r="G4107" s="121">
        <v>1398.3652381499996</v>
      </c>
      <c r="H4107" s="124"/>
      <c r="I4107" s="125"/>
      <c r="J4107" s="125"/>
      <c r="K4107" s="125"/>
      <c r="L4107" s="121"/>
      <c r="M4107" s="126"/>
      <c r="N4107" s="121"/>
    </row>
    <row r="4108" spans="1:14" x14ac:dyDescent="0.25">
      <c r="A4108" s="121" t="s">
        <v>241</v>
      </c>
      <c r="B4108" s="121" t="s">
        <v>175</v>
      </c>
      <c r="C4108" s="62">
        <f>VLOOKUP(B4108,合并仓明细!$D$2:$F$74,3,0)</f>
        <v>68</v>
      </c>
      <c r="D4108" s="122" t="s">
        <v>393</v>
      </c>
      <c r="E4108" s="123">
        <v>45960</v>
      </c>
      <c r="F4108" s="121" t="s">
        <v>68</v>
      </c>
      <c r="G4108" s="121">
        <v>547.20000000000005</v>
      </c>
      <c r="H4108" s="124">
        <v>1.4747400966599999</v>
      </c>
      <c r="I4108" s="46">
        <f>ROUNDUP(H4108/30,0)*VLOOKUP(D4108,'报价表-配送'!$B$61:$I$65,8,0)</f>
        <v>0</v>
      </c>
      <c r="J4108" s="125"/>
      <c r="K4108" s="125"/>
      <c r="L4108" s="121"/>
      <c r="M4108" s="126"/>
      <c r="N4108" s="127">
        <f t="shared" ref="N4108" si="437">SUM(I4108:L4108)</f>
        <v>0</v>
      </c>
    </row>
    <row r="4109" spans="1:14" x14ac:dyDescent="0.25">
      <c r="A4109" s="121" t="s">
        <v>241</v>
      </c>
      <c r="B4109" s="121" t="s">
        <v>175</v>
      </c>
      <c r="C4109" s="62">
        <f>VLOOKUP(B4109,合并仓明细!$D$2:$F$74,3,0)</f>
        <v>68</v>
      </c>
      <c r="D4109" s="122" t="s">
        <v>393</v>
      </c>
      <c r="E4109" s="123">
        <v>45960</v>
      </c>
      <c r="F4109" s="121" t="s">
        <v>67</v>
      </c>
      <c r="G4109" s="121">
        <v>393.48468000000003</v>
      </c>
      <c r="H4109" s="124"/>
      <c r="I4109" s="125"/>
      <c r="J4109" s="125"/>
      <c r="K4109" s="125"/>
      <c r="L4109" s="121"/>
      <c r="M4109" s="126"/>
      <c r="N4109" s="121"/>
    </row>
    <row r="4110" spans="1:14" x14ac:dyDescent="0.25">
      <c r="A4110" s="121" t="s">
        <v>241</v>
      </c>
      <c r="B4110" s="121" t="s">
        <v>175</v>
      </c>
      <c r="C4110" s="62">
        <f>VLOOKUP(B4110,合并仓明细!$D$2:$F$74,3,0)</f>
        <v>68</v>
      </c>
      <c r="D4110" s="122" t="s">
        <v>393</v>
      </c>
      <c r="E4110" s="123">
        <v>45960</v>
      </c>
      <c r="F4110" s="121" t="s">
        <v>66</v>
      </c>
      <c r="G4110" s="121">
        <v>534.05541665999988</v>
      </c>
      <c r="H4110" s="124"/>
      <c r="I4110" s="125"/>
      <c r="J4110" s="125"/>
      <c r="K4110" s="125"/>
      <c r="L4110" s="121"/>
      <c r="M4110" s="126"/>
      <c r="N4110" s="121"/>
    </row>
    <row r="4111" spans="1:14" x14ac:dyDescent="0.25">
      <c r="A4111" s="121" t="s">
        <v>241</v>
      </c>
      <c r="B4111" s="121" t="s">
        <v>175</v>
      </c>
      <c r="C4111" s="62">
        <f>VLOOKUP(B4111,合并仓明细!$D$2:$F$74,3,0)</f>
        <v>68</v>
      </c>
      <c r="D4111" s="122" t="s">
        <v>393</v>
      </c>
      <c r="E4111" s="123">
        <v>45967</v>
      </c>
      <c r="F4111" s="121" t="s">
        <v>68</v>
      </c>
      <c r="G4111" s="121">
        <v>17.591999999999999</v>
      </c>
      <c r="H4111" s="124">
        <v>1.83573933275</v>
      </c>
      <c r="I4111" s="46">
        <f>ROUNDUP(H4111/30,0)*VLOOKUP(D4111,'报价表-配送'!$B$61:$I$65,8,0)</f>
        <v>0</v>
      </c>
      <c r="J4111" s="125"/>
      <c r="K4111" s="125"/>
      <c r="L4111" s="121"/>
      <c r="M4111" s="126"/>
      <c r="N4111" s="127">
        <f t="shared" ref="N4111" si="438">SUM(I4111:L4111)</f>
        <v>0</v>
      </c>
    </row>
    <row r="4112" spans="1:14" x14ac:dyDescent="0.25">
      <c r="A4112" s="121" t="s">
        <v>241</v>
      </c>
      <c r="B4112" s="121" t="s">
        <v>175</v>
      </c>
      <c r="C4112" s="62">
        <f>VLOOKUP(B4112,合并仓明细!$D$2:$F$74,3,0)</f>
        <v>68</v>
      </c>
      <c r="D4112" s="122" t="s">
        <v>393</v>
      </c>
      <c r="E4112" s="123">
        <v>45967</v>
      </c>
      <c r="F4112" s="121" t="s">
        <v>67</v>
      </c>
      <c r="G4112" s="121">
        <v>1599.2884279999998</v>
      </c>
      <c r="H4112" s="124"/>
      <c r="I4112" s="125"/>
      <c r="J4112" s="125"/>
      <c r="K4112" s="125"/>
      <c r="L4112" s="121"/>
      <c r="M4112" s="126"/>
      <c r="N4112" s="121"/>
    </row>
    <row r="4113" spans="1:14" x14ac:dyDescent="0.25">
      <c r="A4113" s="121" t="s">
        <v>241</v>
      </c>
      <c r="B4113" s="121" t="s">
        <v>175</v>
      </c>
      <c r="C4113" s="62">
        <f>VLOOKUP(B4113,合并仓明细!$D$2:$F$74,3,0)</f>
        <v>68</v>
      </c>
      <c r="D4113" s="122" t="s">
        <v>393</v>
      </c>
      <c r="E4113" s="123">
        <v>45967</v>
      </c>
      <c r="F4113" s="121" t="s">
        <v>66</v>
      </c>
      <c r="G4113" s="121">
        <v>218.85890474999997</v>
      </c>
      <c r="H4113" s="124"/>
      <c r="I4113" s="125"/>
      <c r="J4113" s="125"/>
      <c r="K4113" s="125"/>
      <c r="L4113" s="121"/>
      <c r="M4113" s="126"/>
      <c r="N4113" s="121"/>
    </row>
    <row r="4114" spans="1:14" x14ac:dyDescent="0.25">
      <c r="A4114" s="121" t="s">
        <v>241</v>
      </c>
      <c r="B4114" s="121" t="s">
        <v>175</v>
      </c>
      <c r="C4114" s="62">
        <f>VLOOKUP(B4114,合并仓明细!$D$2:$F$74,3,0)</f>
        <v>68</v>
      </c>
      <c r="D4114" s="122" t="s">
        <v>393</v>
      </c>
      <c r="E4114" s="123">
        <v>45973</v>
      </c>
      <c r="F4114" s="121" t="s">
        <v>67</v>
      </c>
      <c r="G4114" s="121">
        <v>150.19445999999999</v>
      </c>
      <c r="H4114" s="124">
        <v>0.79542162665000005</v>
      </c>
      <c r="I4114" s="38">
        <f>IF(H4114&gt;30,QUOTIENT(H4114,30)*VLOOKUP(D4114,'报价表-配送'!$B$61:$I$65,8,0),0)+IF(AND(MOD(H4114,30)&gt;18,MOD(H4114,30)&lt;=30),1,0)*VLOOKUP(D4114,'报价表-配送'!$B$61:$I$65,8,0)</f>
        <v>0</v>
      </c>
      <c r="J4114" s="38">
        <f>IF(AND(MOD(H4114,30)&gt;8,MOD(H4114,30)&lt;=18),1*VLOOKUP(D4114,'报价表-配送'!$B$61:$I$65,7,0),0)</f>
        <v>0</v>
      </c>
      <c r="K4114" s="38">
        <f>IF(AND(MOD(H4114,30)&lt;=8,MOD(H4114,30)&gt;0),1,0)*VLOOKUP(D4114,'报价表-配送'!$B$61:$I$65,6,0)</f>
        <v>0</v>
      </c>
      <c r="L4114" s="121"/>
      <c r="M4114" s="126"/>
      <c r="N4114" s="127">
        <f t="shared" ref="N4114" si="439">SUM(I4114:L4114)</f>
        <v>0</v>
      </c>
    </row>
    <row r="4115" spans="1:14" x14ac:dyDescent="0.25">
      <c r="A4115" s="121" t="s">
        <v>241</v>
      </c>
      <c r="B4115" s="121" t="s">
        <v>175</v>
      </c>
      <c r="C4115" s="62">
        <f>VLOOKUP(B4115,合并仓明细!$D$2:$F$74,3,0)</f>
        <v>68</v>
      </c>
      <c r="D4115" s="122" t="s">
        <v>393</v>
      </c>
      <c r="E4115" s="123">
        <v>45973</v>
      </c>
      <c r="F4115" s="121" t="s">
        <v>66</v>
      </c>
      <c r="G4115" s="121">
        <v>645.22716664999996</v>
      </c>
      <c r="H4115" s="124"/>
      <c r="I4115" s="125"/>
      <c r="J4115" s="125"/>
      <c r="K4115" s="125"/>
      <c r="L4115" s="121"/>
      <c r="M4115" s="126"/>
      <c r="N4115" s="121"/>
    </row>
    <row r="4116" spans="1:14" x14ac:dyDescent="0.25">
      <c r="A4116" s="121" t="s">
        <v>241</v>
      </c>
      <c r="B4116" s="121" t="s">
        <v>175</v>
      </c>
      <c r="C4116" s="62">
        <f>VLOOKUP(B4116,合并仓明细!$D$2:$F$74,3,0)</f>
        <v>68</v>
      </c>
      <c r="D4116" s="122" t="s">
        <v>393</v>
      </c>
      <c r="E4116" s="123">
        <v>45985</v>
      </c>
      <c r="F4116" s="121" t="s">
        <v>68</v>
      </c>
      <c r="G4116" s="121">
        <v>16.9284</v>
      </c>
      <c r="H4116" s="124">
        <v>4.4824998102199993</v>
      </c>
      <c r="I4116" s="46">
        <f>ROUNDUP(H4116/30,0)*VLOOKUP(D4116,'报价表-配送'!$B$61:$I$65,8,0)</f>
        <v>0</v>
      </c>
      <c r="J4116" s="125"/>
      <c r="K4116" s="125"/>
      <c r="L4116" s="121"/>
      <c r="M4116" s="126"/>
      <c r="N4116" s="127">
        <f t="shared" ref="N4116" si="440">SUM(I4116:L4116)</f>
        <v>0</v>
      </c>
    </row>
    <row r="4117" spans="1:14" x14ac:dyDescent="0.25">
      <c r="A4117" s="121" t="s">
        <v>241</v>
      </c>
      <c r="B4117" s="121" t="s">
        <v>175</v>
      </c>
      <c r="C4117" s="62">
        <f>VLOOKUP(B4117,合并仓明细!$D$2:$F$74,3,0)</f>
        <v>68</v>
      </c>
      <c r="D4117" s="122" t="s">
        <v>393</v>
      </c>
      <c r="E4117" s="123">
        <v>45985</v>
      </c>
      <c r="F4117" s="121" t="s">
        <v>67</v>
      </c>
      <c r="G4117" s="121">
        <v>3838.0378860000001</v>
      </c>
      <c r="H4117" s="124"/>
      <c r="I4117" s="125"/>
      <c r="J4117" s="125"/>
      <c r="K4117" s="125"/>
      <c r="L4117" s="121"/>
      <c r="M4117" s="126"/>
      <c r="N4117" s="121"/>
    </row>
    <row r="4118" spans="1:14" x14ac:dyDescent="0.25">
      <c r="A4118" s="121" t="s">
        <v>241</v>
      </c>
      <c r="B4118" s="121" t="s">
        <v>175</v>
      </c>
      <c r="C4118" s="62">
        <f>VLOOKUP(B4118,合并仓明细!$D$2:$F$74,3,0)</f>
        <v>68</v>
      </c>
      <c r="D4118" s="122" t="s">
        <v>393</v>
      </c>
      <c r="E4118" s="123">
        <v>45985</v>
      </c>
      <c r="F4118" s="121" t="s">
        <v>66</v>
      </c>
      <c r="G4118" s="121">
        <v>627.53352421999978</v>
      </c>
      <c r="H4118" s="124"/>
      <c r="I4118" s="125"/>
      <c r="J4118" s="125"/>
      <c r="K4118" s="125"/>
      <c r="L4118" s="121"/>
      <c r="M4118" s="126"/>
      <c r="N4118" s="121"/>
    </row>
    <row r="4119" spans="1:14" x14ac:dyDescent="0.25">
      <c r="A4119" s="121" t="s">
        <v>241</v>
      </c>
      <c r="B4119" s="121" t="s">
        <v>175</v>
      </c>
      <c r="C4119" s="62">
        <f>VLOOKUP(B4119,合并仓明细!$D$2:$F$74,3,0)</f>
        <v>68</v>
      </c>
      <c r="D4119" s="122" t="s">
        <v>393</v>
      </c>
      <c r="E4119" s="123">
        <v>45987</v>
      </c>
      <c r="F4119" s="121" t="s">
        <v>67</v>
      </c>
      <c r="G4119" s="121">
        <v>52839.92742</v>
      </c>
      <c r="H4119" s="124">
        <v>55.061277419999996</v>
      </c>
      <c r="I4119" s="38">
        <f>IF(H4119&gt;30,QUOTIENT(H4119,30)*VLOOKUP(D4119,'报价表-配送'!$B$61:$I$65,8,0),0)+IF(AND(MOD(H4119,30)&gt;18,MOD(H4119,30)&lt;=30),1,0)*VLOOKUP(D4119,'报价表-配送'!$B$61:$I$65,8,0)</f>
        <v>0</v>
      </c>
      <c r="J4119" s="38">
        <f>IF(AND(MOD(H4119,30)&gt;8,MOD(H4119,30)&lt;=18),1*VLOOKUP(D4119,'报价表-配送'!$B$61:$I$65,7,0),0)</f>
        <v>0</v>
      </c>
      <c r="K4119" s="38">
        <f>IF(AND(MOD(H4119,30)&lt;=8,MOD(H4119,30)&gt;0),1,0)*VLOOKUP(D4119,'报价表-配送'!$B$61:$I$65,6,0)</f>
        <v>0</v>
      </c>
      <c r="L4119" s="121"/>
      <c r="M4119" s="126"/>
      <c r="N4119" s="127">
        <f t="shared" ref="N4119" si="441">SUM(I4119:L4119)</f>
        <v>0</v>
      </c>
    </row>
    <row r="4120" spans="1:14" x14ac:dyDescent="0.25">
      <c r="A4120" s="121" t="s">
        <v>241</v>
      </c>
      <c r="B4120" s="121" t="s">
        <v>175</v>
      </c>
      <c r="C4120" s="62">
        <f>VLOOKUP(B4120,合并仓明细!$D$2:$F$74,3,0)</f>
        <v>68</v>
      </c>
      <c r="D4120" s="122" t="s">
        <v>393</v>
      </c>
      <c r="E4120" s="123">
        <v>45987</v>
      </c>
      <c r="F4120" s="121" t="s">
        <v>66</v>
      </c>
      <c r="G4120" s="121">
        <v>2221.35</v>
      </c>
      <c r="H4120" s="124"/>
      <c r="I4120" s="125"/>
      <c r="J4120" s="125"/>
      <c r="K4120" s="125"/>
      <c r="L4120" s="121"/>
      <c r="M4120" s="126"/>
      <c r="N4120" s="121"/>
    </row>
    <row r="4121" spans="1:14" x14ac:dyDescent="0.25">
      <c r="A4121" s="121" t="s">
        <v>241</v>
      </c>
      <c r="B4121" s="121" t="s">
        <v>175</v>
      </c>
      <c r="C4121" s="62">
        <f>VLOOKUP(B4121,合并仓明细!$D$2:$F$74,3,0)</f>
        <v>68</v>
      </c>
      <c r="D4121" s="122" t="s">
        <v>393</v>
      </c>
      <c r="E4121" s="123">
        <v>45995</v>
      </c>
      <c r="F4121" s="121" t="s">
        <v>68</v>
      </c>
      <c r="G4121" s="121">
        <v>148.5</v>
      </c>
      <c r="H4121" s="124">
        <v>21.917339499999994</v>
      </c>
      <c r="I4121" s="46">
        <f>ROUNDUP(H4121/30,0)*VLOOKUP(D4121,'报价表-配送'!$B$61:$I$65,8,0)</f>
        <v>0</v>
      </c>
      <c r="J4121" s="125"/>
      <c r="K4121" s="125"/>
      <c r="L4121" s="121"/>
      <c r="M4121" s="126"/>
      <c r="N4121" s="127">
        <f t="shared" ref="N4121" si="442">SUM(I4121:L4121)</f>
        <v>0</v>
      </c>
    </row>
    <row r="4122" spans="1:14" x14ac:dyDescent="0.25">
      <c r="A4122" s="121" t="s">
        <v>241</v>
      </c>
      <c r="B4122" s="121" t="s">
        <v>175</v>
      </c>
      <c r="C4122" s="62">
        <f>VLOOKUP(B4122,合并仓明细!$D$2:$F$74,3,0)</f>
        <v>68</v>
      </c>
      <c r="D4122" s="122" t="s">
        <v>393</v>
      </c>
      <c r="E4122" s="123">
        <v>45995</v>
      </c>
      <c r="F4122" s="121" t="s">
        <v>67</v>
      </c>
      <c r="G4122" s="121">
        <v>18721.241999999995</v>
      </c>
      <c r="H4122" s="124"/>
      <c r="I4122" s="125"/>
      <c r="J4122" s="125"/>
      <c r="K4122" s="125"/>
      <c r="L4122" s="121"/>
      <c r="M4122" s="126"/>
      <c r="N4122" s="121"/>
    </row>
    <row r="4123" spans="1:14" x14ac:dyDescent="0.25">
      <c r="A4123" s="121" t="s">
        <v>241</v>
      </c>
      <c r="B4123" s="121" t="s">
        <v>175</v>
      </c>
      <c r="C4123" s="62">
        <f>VLOOKUP(B4123,合并仓明细!$D$2:$F$74,3,0)</f>
        <v>68</v>
      </c>
      <c r="D4123" s="122" t="s">
        <v>393</v>
      </c>
      <c r="E4123" s="123">
        <v>45995</v>
      </c>
      <c r="F4123" s="121" t="s">
        <v>66</v>
      </c>
      <c r="G4123" s="121">
        <v>3047.5975000000003</v>
      </c>
      <c r="H4123" s="124"/>
      <c r="I4123" s="125"/>
      <c r="J4123" s="125"/>
      <c r="K4123" s="125"/>
      <c r="L4123" s="121"/>
      <c r="M4123" s="126"/>
      <c r="N4123" s="121"/>
    </row>
    <row r="4124" spans="1:14" x14ac:dyDescent="0.25">
      <c r="A4124" s="121" t="s">
        <v>241</v>
      </c>
      <c r="B4124" s="121" t="s">
        <v>175</v>
      </c>
      <c r="C4124" s="62">
        <f>VLOOKUP(B4124,合并仓明细!$D$2:$F$74,3,0)</f>
        <v>68</v>
      </c>
      <c r="D4124" s="122" t="s">
        <v>393</v>
      </c>
      <c r="E4124" s="123">
        <v>45999</v>
      </c>
      <c r="F4124" s="121" t="s">
        <v>68</v>
      </c>
      <c r="G4124" s="121">
        <v>608.82564000000002</v>
      </c>
      <c r="H4124" s="124">
        <v>15.463701578470001</v>
      </c>
      <c r="I4124" s="46">
        <f>ROUNDUP(H4124/30,0)*VLOOKUP(D4124,'报价表-配送'!$B$61:$I$65,8,0)</f>
        <v>0</v>
      </c>
      <c r="J4124" s="125"/>
      <c r="K4124" s="125"/>
      <c r="L4124" s="121"/>
      <c r="M4124" s="126"/>
      <c r="N4124" s="127">
        <f t="shared" ref="N4124" si="443">SUM(I4124:L4124)</f>
        <v>0</v>
      </c>
    </row>
    <row r="4125" spans="1:14" x14ac:dyDescent="0.25">
      <c r="A4125" s="121" t="s">
        <v>241</v>
      </c>
      <c r="B4125" s="121" t="s">
        <v>175</v>
      </c>
      <c r="C4125" s="62">
        <f>VLOOKUP(B4125,合并仓明细!$D$2:$F$74,3,0)</f>
        <v>68</v>
      </c>
      <c r="D4125" s="122" t="s">
        <v>393</v>
      </c>
      <c r="E4125" s="123">
        <v>45999</v>
      </c>
      <c r="F4125" s="121" t="s">
        <v>67</v>
      </c>
      <c r="G4125" s="121">
        <v>11773.377607000002</v>
      </c>
      <c r="H4125" s="124"/>
      <c r="I4125" s="125"/>
      <c r="J4125" s="125"/>
      <c r="K4125" s="125"/>
      <c r="L4125" s="121"/>
      <c r="M4125" s="126"/>
      <c r="N4125" s="121"/>
    </row>
    <row r="4126" spans="1:14" x14ac:dyDescent="0.25">
      <c r="A4126" s="121" t="s">
        <v>241</v>
      </c>
      <c r="B4126" s="121" t="s">
        <v>175</v>
      </c>
      <c r="C4126" s="62">
        <f>VLOOKUP(B4126,合并仓明细!$D$2:$F$74,3,0)</f>
        <v>68</v>
      </c>
      <c r="D4126" s="122" t="s">
        <v>393</v>
      </c>
      <c r="E4126" s="123">
        <v>45999</v>
      </c>
      <c r="F4126" s="121" t="s">
        <v>66</v>
      </c>
      <c r="G4126" s="121">
        <v>3081.4983314700003</v>
      </c>
      <c r="H4126" s="124"/>
      <c r="I4126" s="125"/>
      <c r="J4126" s="125"/>
      <c r="K4126" s="125"/>
      <c r="L4126" s="121"/>
      <c r="M4126" s="126"/>
      <c r="N4126" s="121"/>
    </row>
    <row r="4127" spans="1:14" x14ac:dyDescent="0.25">
      <c r="A4127" s="121" t="s">
        <v>241</v>
      </c>
      <c r="B4127" s="121" t="s">
        <v>175</v>
      </c>
      <c r="C4127" s="62">
        <f>VLOOKUP(B4127,合并仓明细!$D$2:$F$74,3,0)</f>
        <v>68</v>
      </c>
      <c r="D4127" s="122" t="s">
        <v>393</v>
      </c>
      <c r="E4127" s="123">
        <v>46006</v>
      </c>
      <c r="F4127" s="121" t="s">
        <v>67</v>
      </c>
      <c r="G4127" s="121">
        <v>1095.97</v>
      </c>
      <c r="H4127" s="124">
        <v>1.9261949999899999</v>
      </c>
      <c r="I4127" s="38">
        <f>IF(H4127&gt;30,QUOTIENT(H4127,30)*VLOOKUP(D4127,'报价表-配送'!$B$61:$I$65,8,0),0)+IF(AND(MOD(H4127,30)&gt;18,MOD(H4127,30)&lt;=30),1,0)*VLOOKUP(D4127,'报价表-配送'!$B$61:$I$65,8,0)</f>
        <v>0</v>
      </c>
      <c r="J4127" s="38">
        <f>IF(AND(MOD(H4127,30)&gt;8,MOD(H4127,30)&lt;=18),1*VLOOKUP(D4127,'报价表-配送'!$B$61:$I$65,7,0),0)</f>
        <v>0</v>
      </c>
      <c r="K4127" s="38">
        <f>IF(AND(MOD(H4127,30)&lt;=8,MOD(H4127,30)&gt;0),1,0)*VLOOKUP(D4127,'报价表-配送'!$B$61:$I$65,6,0)</f>
        <v>0</v>
      </c>
      <c r="L4127" s="121"/>
      <c r="M4127" s="126"/>
      <c r="N4127" s="127">
        <f t="shared" ref="N4127" si="444">SUM(I4127:L4127)</f>
        <v>0</v>
      </c>
    </row>
    <row r="4128" spans="1:14" x14ac:dyDescent="0.25">
      <c r="A4128" s="121" t="s">
        <v>241</v>
      </c>
      <c r="B4128" s="121" t="s">
        <v>175</v>
      </c>
      <c r="C4128" s="62">
        <f>VLOOKUP(B4128,合并仓明细!$D$2:$F$74,3,0)</f>
        <v>68</v>
      </c>
      <c r="D4128" s="122" t="s">
        <v>393</v>
      </c>
      <c r="E4128" s="123">
        <v>46006</v>
      </c>
      <c r="F4128" s="121" t="s">
        <v>66</v>
      </c>
      <c r="G4128" s="121">
        <v>830.22499998999967</v>
      </c>
      <c r="H4128" s="124"/>
      <c r="I4128" s="125"/>
      <c r="J4128" s="125"/>
      <c r="K4128" s="125"/>
      <c r="L4128" s="121"/>
      <c r="M4128" s="126"/>
      <c r="N4128" s="121"/>
    </row>
    <row r="4129" spans="1:14" x14ac:dyDescent="0.25">
      <c r="A4129" s="121" t="s">
        <v>241</v>
      </c>
      <c r="B4129" s="121" t="s">
        <v>175</v>
      </c>
      <c r="C4129" s="62">
        <f>VLOOKUP(B4129,合并仓明细!$D$2:$F$74,3,0)</f>
        <v>68</v>
      </c>
      <c r="D4129" s="122" t="s">
        <v>393</v>
      </c>
      <c r="E4129" s="123">
        <v>46007</v>
      </c>
      <c r="F4129" s="121" t="s">
        <v>67</v>
      </c>
      <c r="G4129" s="121">
        <v>22501.989999999998</v>
      </c>
      <c r="H4129" s="124">
        <v>23.293485999999998</v>
      </c>
      <c r="I4129" s="38">
        <f>IF(H4129&gt;30,QUOTIENT(H4129,30)*VLOOKUP(D4129,'报价表-配送'!$B$61:$I$65,8,0),0)+IF(AND(MOD(H4129,30)&gt;18,MOD(H4129,30)&lt;=30),1,0)*VLOOKUP(D4129,'报价表-配送'!$B$61:$I$65,8,0)</f>
        <v>0</v>
      </c>
      <c r="J4129" s="38">
        <f>IF(AND(MOD(H4129,30)&gt;8,MOD(H4129,30)&lt;=18),1*VLOOKUP(D4129,'报价表-配送'!$B$61:$I$65,7,0),0)</f>
        <v>0</v>
      </c>
      <c r="K4129" s="38">
        <f>IF(AND(MOD(H4129,30)&lt;=8,MOD(H4129,30)&gt;0),1,0)*VLOOKUP(D4129,'报价表-配送'!$B$61:$I$65,6,0)</f>
        <v>0</v>
      </c>
      <c r="L4129" s="121"/>
      <c r="M4129" s="126"/>
      <c r="N4129" s="127">
        <f t="shared" ref="N4129" si="445">SUM(I4129:L4129)</f>
        <v>0</v>
      </c>
    </row>
    <row r="4130" spans="1:14" x14ac:dyDescent="0.25">
      <c r="A4130" s="121" t="s">
        <v>241</v>
      </c>
      <c r="B4130" s="121" t="s">
        <v>175</v>
      </c>
      <c r="C4130" s="62">
        <f>VLOOKUP(B4130,合并仓明细!$D$2:$F$74,3,0)</f>
        <v>68</v>
      </c>
      <c r="D4130" s="122" t="s">
        <v>393</v>
      </c>
      <c r="E4130" s="123">
        <v>46007</v>
      </c>
      <c r="F4130" s="121" t="s">
        <v>66</v>
      </c>
      <c r="G4130" s="121">
        <v>791.49599999999998</v>
      </c>
      <c r="H4130" s="124"/>
      <c r="I4130" s="125"/>
      <c r="J4130" s="125"/>
      <c r="K4130" s="125"/>
      <c r="L4130" s="121"/>
      <c r="M4130" s="126"/>
      <c r="N4130" s="121"/>
    </row>
    <row r="4131" spans="1:14" x14ac:dyDescent="0.25">
      <c r="A4131" s="121" t="s">
        <v>241</v>
      </c>
      <c r="B4131" s="121" t="s">
        <v>175</v>
      </c>
      <c r="C4131" s="62">
        <f>VLOOKUP(B4131,合并仓明细!$D$2:$F$74,3,0)</f>
        <v>68</v>
      </c>
      <c r="D4131" s="122" t="s">
        <v>393</v>
      </c>
      <c r="E4131" s="123">
        <v>46010</v>
      </c>
      <c r="F4131" s="121" t="s">
        <v>66</v>
      </c>
      <c r="G4131" s="121">
        <v>2382.14</v>
      </c>
      <c r="H4131" s="124">
        <v>2.3821399999999997</v>
      </c>
      <c r="I4131" s="125"/>
      <c r="J4131" s="125"/>
      <c r="K4131" s="125"/>
      <c r="L4131" s="37">
        <f>IF(H4131&gt;30,QUOTIENT(H4131,30)*VLOOKUP(D4131,'报价表-配送'!$B$61:$I$65,8,0),0)+IF(AND(MOD(H4131,30)&gt;18,MOD(H4131,30)&lt;=30),1,0)*VLOOKUP(D4131,'报价表-配送'!$B$61:$I$65,8,0)+IF(AND(MOD(H4131,30)&gt;8,MOD(H4131,30)&lt;=18),1*VLOOKUP(D4131,'报价表-配送'!$B$61:$I$65,7,0),0)+IF(AND(MOD(H4131,30)&lt;=8,MOD(H4131,30)&gt;2.5),1,0)*VLOOKUP(D4131,'报价表-配送'!$B$61:$I$65,6,0)+IF(AND(MOD(H4131,30)&lt;=2.5,MOD(H4131,30)&gt;=1.5),1,0)*VLOOKUP(D4131,'报价表-配送'!$B$61:$I$65,5,0)</f>
        <v>0</v>
      </c>
      <c r="M4131" s="39">
        <f>IF(AND(MOD(H4131,30)&lt;1.5,MOD(H4131,30)&gt;=0.5),H4131,0)*VLOOKUP(D4131,'报价表-配送'!$B$61:$I$65,4,0)*1000+IF(AND(MOD(H4131,30)&lt;0.5,MOD(H4131,30)&gt;=0.02),H4131,0)*VLOOKUP(D4131,'报价表-配送'!$B$61:$I$65,3,0)*1000+IF(AND(MOD(H4131,30)&lt;0.02),H4131,0)*VLOOKUP(D4131,'报价表-配送'!$B$61:$I$65,2,0)*1000</f>
        <v>0</v>
      </c>
      <c r="N4131" s="127">
        <f t="shared" ref="N4131:N4132" si="446">SUM(I4131:L4131)</f>
        <v>0</v>
      </c>
    </row>
    <row r="4132" spans="1:14" x14ac:dyDescent="0.25">
      <c r="A4132" s="121" t="s">
        <v>241</v>
      </c>
      <c r="B4132" s="121" t="s">
        <v>175</v>
      </c>
      <c r="C4132" s="62">
        <f>VLOOKUP(B4132,合并仓明细!$D$2:$F$74,3,0)</f>
        <v>68</v>
      </c>
      <c r="D4132" s="122" t="s">
        <v>393</v>
      </c>
      <c r="E4132" s="123">
        <v>46014</v>
      </c>
      <c r="F4132" s="121" t="s">
        <v>68</v>
      </c>
      <c r="G4132" s="121">
        <v>38.31</v>
      </c>
      <c r="H4132" s="124">
        <v>8.1646996640000005</v>
      </c>
      <c r="I4132" s="46">
        <f>ROUNDUP(H4132/30,0)*VLOOKUP(D4132,'报价表-配送'!$B$61:$I$65,8,0)</f>
        <v>0</v>
      </c>
      <c r="J4132" s="125"/>
      <c r="K4132" s="125"/>
      <c r="L4132" s="121"/>
      <c r="M4132" s="126"/>
      <c r="N4132" s="127">
        <f t="shared" si="446"/>
        <v>0</v>
      </c>
    </row>
    <row r="4133" spans="1:14" x14ac:dyDescent="0.25">
      <c r="A4133" s="121" t="s">
        <v>241</v>
      </c>
      <c r="B4133" s="121" t="s">
        <v>175</v>
      </c>
      <c r="C4133" s="62">
        <f>VLOOKUP(B4133,合并仓明细!$D$2:$F$74,3,0)</f>
        <v>68</v>
      </c>
      <c r="D4133" s="122" t="s">
        <v>393</v>
      </c>
      <c r="E4133" s="123">
        <v>46014</v>
      </c>
      <c r="F4133" s="121" t="s">
        <v>67</v>
      </c>
      <c r="G4133" s="121">
        <v>5800.7296639999995</v>
      </c>
      <c r="H4133" s="124"/>
      <c r="I4133" s="125"/>
      <c r="J4133" s="125"/>
      <c r="K4133" s="125"/>
      <c r="L4133" s="121"/>
      <c r="M4133" s="126"/>
      <c r="N4133" s="121"/>
    </row>
    <row r="4134" spans="1:14" x14ac:dyDescent="0.25">
      <c r="A4134" s="121" t="s">
        <v>241</v>
      </c>
      <c r="B4134" s="121" t="s">
        <v>175</v>
      </c>
      <c r="C4134" s="62">
        <f>VLOOKUP(B4134,合并仓明细!$D$2:$F$74,3,0)</f>
        <v>68</v>
      </c>
      <c r="D4134" s="122" t="s">
        <v>393</v>
      </c>
      <c r="E4134" s="123">
        <v>46014</v>
      </c>
      <c r="F4134" s="121" t="s">
        <v>66</v>
      </c>
      <c r="G4134" s="121">
        <v>2325.6600000000003</v>
      </c>
      <c r="H4134" s="124"/>
      <c r="I4134" s="125"/>
      <c r="J4134" s="125"/>
      <c r="K4134" s="125"/>
      <c r="L4134" s="121"/>
      <c r="M4134" s="126"/>
      <c r="N4134" s="121"/>
    </row>
    <row r="4135" spans="1:14" x14ac:dyDescent="0.25">
      <c r="A4135" s="121" t="s">
        <v>241</v>
      </c>
      <c r="B4135" s="121" t="s">
        <v>175</v>
      </c>
      <c r="C4135" s="62">
        <f>VLOOKUP(B4135,合并仓明细!$D$2:$F$74,3,0)</f>
        <v>68</v>
      </c>
      <c r="D4135" s="122" t="s">
        <v>393</v>
      </c>
      <c r="E4135" s="123">
        <v>46027</v>
      </c>
      <c r="F4135" s="121" t="s">
        <v>68</v>
      </c>
      <c r="G4135" s="121">
        <v>12.77148</v>
      </c>
      <c r="H4135" s="124">
        <v>2.1251059240999997</v>
      </c>
      <c r="I4135" s="46">
        <f>ROUNDUP(H4135/30,0)*VLOOKUP(D4135,'报价表-配送'!$B$61:$I$65,8,0)</f>
        <v>0</v>
      </c>
      <c r="J4135" s="125"/>
      <c r="K4135" s="125"/>
      <c r="L4135" s="121"/>
      <c r="M4135" s="126"/>
      <c r="N4135" s="127">
        <f t="shared" ref="N4135" si="447">SUM(I4135:L4135)</f>
        <v>0</v>
      </c>
    </row>
    <row r="4136" spans="1:14" x14ac:dyDescent="0.25">
      <c r="A4136" s="121" t="s">
        <v>241</v>
      </c>
      <c r="B4136" s="121" t="s">
        <v>175</v>
      </c>
      <c r="C4136" s="62">
        <f>VLOOKUP(B4136,合并仓明细!$D$2:$F$74,3,0)</f>
        <v>68</v>
      </c>
      <c r="D4136" s="122" t="s">
        <v>393</v>
      </c>
      <c r="E4136" s="123">
        <v>46027</v>
      </c>
      <c r="F4136" s="121" t="s">
        <v>67</v>
      </c>
      <c r="G4136" s="121">
        <v>1649.3208239999997</v>
      </c>
      <c r="H4136" s="124"/>
      <c r="I4136" s="125"/>
      <c r="J4136" s="125"/>
      <c r="K4136" s="125"/>
      <c r="L4136" s="121"/>
      <c r="M4136" s="126"/>
      <c r="N4136" s="121"/>
    </row>
    <row r="4137" spans="1:14" x14ac:dyDescent="0.25">
      <c r="A4137" s="121" t="s">
        <v>241</v>
      </c>
      <c r="B4137" s="121" t="s">
        <v>175</v>
      </c>
      <c r="C4137" s="62">
        <f>VLOOKUP(B4137,合并仓明细!$D$2:$F$74,3,0)</f>
        <v>68</v>
      </c>
      <c r="D4137" s="122" t="s">
        <v>393</v>
      </c>
      <c r="E4137" s="123">
        <v>46027</v>
      </c>
      <c r="F4137" s="121" t="s">
        <v>66</v>
      </c>
      <c r="G4137" s="121">
        <v>463.01362010000003</v>
      </c>
      <c r="H4137" s="124"/>
      <c r="I4137" s="125"/>
      <c r="J4137" s="125"/>
      <c r="K4137" s="125"/>
      <c r="L4137" s="121"/>
      <c r="M4137" s="126"/>
      <c r="N4137" s="121"/>
    </row>
    <row r="4138" spans="1:14" x14ac:dyDescent="0.25">
      <c r="A4138" s="121" t="s">
        <v>241</v>
      </c>
      <c r="B4138" s="121" t="s">
        <v>175</v>
      </c>
      <c r="C4138" s="62">
        <f>VLOOKUP(B4138,合并仓明细!$D$2:$F$74,3,0)</f>
        <v>68</v>
      </c>
      <c r="D4138" s="122" t="s">
        <v>393</v>
      </c>
      <c r="E4138" s="123">
        <v>46029</v>
      </c>
      <c r="F4138" s="121" t="s">
        <v>68</v>
      </c>
      <c r="G4138" s="121">
        <v>2942.5849199999998</v>
      </c>
      <c r="H4138" s="124">
        <v>5.3189834482699991</v>
      </c>
      <c r="I4138" s="46">
        <f>ROUNDUP(H4138/30,0)*VLOOKUP(D4138,'报价表-配送'!$B$61:$I$65,8,0)</f>
        <v>0</v>
      </c>
      <c r="J4138" s="125"/>
      <c r="K4138" s="125"/>
      <c r="L4138" s="121"/>
      <c r="M4138" s="126"/>
      <c r="N4138" s="127">
        <f t="shared" ref="N4138" si="448">SUM(I4138:L4138)</f>
        <v>0</v>
      </c>
    </row>
    <row r="4139" spans="1:14" x14ac:dyDescent="0.25">
      <c r="A4139" s="121" t="s">
        <v>241</v>
      </c>
      <c r="B4139" s="121" t="s">
        <v>175</v>
      </c>
      <c r="C4139" s="62">
        <f>VLOOKUP(B4139,合并仓明细!$D$2:$F$74,3,0)</f>
        <v>68</v>
      </c>
      <c r="D4139" s="122" t="s">
        <v>393</v>
      </c>
      <c r="E4139" s="123">
        <v>46029</v>
      </c>
      <c r="F4139" s="121" t="s">
        <v>67</v>
      </c>
      <c r="G4139" s="121">
        <v>1417.719024</v>
      </c>
      <c r="H4139" s="124"/>
      <c r="I4139" s="125"/>
      <c r="J4139" s="125"/>
      <c r="K4139" s="125"/>
      <c r="L4139" s="121"/>
      <c r="M4139" s="126"/>
      <c r="N4139" s="121"/>
    </row>
    <row r="4140" spans="1:14" x14ac:dyDescent="0.25">
      <c r="A4140" s="121" t="s">
        <v>241</v>
      </c>
      <c r="B4140" s="121" t="s">
        <v>175</v>
      </c>
      <c r="C4140" s="62">
        <f>VLOOKUP(B4140,合并仓明细!$D$2:$F$74,3,0)</f>
        <v>68</v>
      </c>
      <c r="D4140" s="122" t="s">
        <v>393</v>
      </c>
      <c r="E4140" s="123">
        <v>46029</v>
      </c>
      <c r="F4140" s="121" t="s">
        <v>66</v>
      </c>
      <c r="G4140" s="121">
        <v>958.67950426999971</v>
      </c>
      <c r="H4140" s="124"/>
      <c r="I4140" s="125"/>
      <c r="J4140" s="125"/>
      <c r="K4140" s="125"/>
      <c r="L4140" s="121"/>
      <c r="M4140" s="126"/>
      <c r="N4140" s="121"/>
    </row>
    <row r="4141" spans="1:14" x14ac:dyDescent="0.25">
      <c r="A4141" s="121" t="s">
        <v>241</v>
      </c>
      <c r="B4141" s="121" t="s">
        <v>175</v>
      </c>
      <c r="C4141" s="62">
        <f>VLOOKUP(B4141,合并仓明细!$D$2:$F$74,3,0)</f>
        <v>68</v>
      </c>
      <c r="D4141" s="122" t="s">
        <v>393</v>
      </c>
      <c r="E4141" s="123">
        <v>46034</v>
      </c>
      <c r="F4141" s="121" t="s">
        <v>68</v>
      </c>
      <c r="G4141" s="121">
        <v>187.72919999999999</v>
      </c>
      <c r="H4141" s="124">
        <v>2.4295561667560004</v>
      </c>
      <c r="I4141" s="46">
        <f>ROUNDUP(H4141/30,0)*VLOOKUP(D4141,'报价表-配送'!$B$61:$I$65,8,0)</f>
        <v>0</v>
      </c>
      <c r="J4141" s="125"/>
      <c r="K4141" s="125"/>
      <c r="L4141" s="121"/>
      <c r="M4141" s="126"/>
      <c r="N4141" s="127">
        <f t="shared" ref="N4141" si="449">SUM(I4141:L4141)</f>
        <v>0</v>
      </c>
    </row>
    <row r="4142" spans="1:14" x14ac:dyDescent="0.25">
      <c r="A4142" s="121" t="s">
        <v>241</v>
      </c>
      <c r="B4142" s="121" t="s">
        <v>175</v>
      </c>
      <c r="C4142" s="62">
        <f>VLOOKUP(B4142,合并仓明细!$D$2:$F$74,3,0)</f>
        <v>68</v>
      </c>
      <c r="D4142" s="122" t="s">
        <v>393</v>
      </c>
      <c r="E4142" s="123">
        <v>46034</v>
      </c>
      <c r="F4142" s="121" t="s">
        <v>67</v>
      </c>
      <c r="G4142" s="121">
        <v>976.61230002599996</v>
      </c>
      <c r="H4142" s="124"/>
      <c r="I4142" s="125"/>
      <c r="J4142" s="125"/>
      <c r="K4142" s="125"/>
      <c r="L4142" s="121"/>
      <c r="M4142" s="126"/>
      <c r="N4142" s="121"/>
    </row>
    <row r="4143" spans="1:14" x14ac:dyDescent="0.25">
      <c r="A4143" s="121" t="s">
        <v>241</v>
      </c>
      <c r="B4143" s="121" t="s">
        <v>175</v>
      </c>
      <c r="C4143" s="62">
        <f>VLOOKUP(B4143,合并仓明细!$D$2:$F$74,3,0)</f>
        <v>68</v>
      </c>
      <c r="D4143" s="122" t="s">
        <v>393</v>
      </c>
      <c r="E4143" s="123">
        <v>46034</v>
      </c>
      <c r="F4143" s="121" t="s">
        <v>66</v>
      </c>
      <c r="G4143" s="121">
        <v>1265.2146667300005</v>
      </c>
      <c r="H4143" s="124"/>
      <c r="I4143" s="125"/>
      <c r="J4143" s="125"/>
      <c r="K4143" s="125"/>
      <c r="L4143" s="121"/>
      <c r="M4143" s="126"/>
      <c r="N4143" s="121"/>
    </row>
    <row r="4144" spans="1:14" x14ac:dyDescent="0.25">
      <c r="A4144" s="121" t="s">
        <v>241</v>
      </c>
      <c r="B4144" s="121" t="s">
        <v>175</v>
      </c>
      <c r="C4144" s="62">
        <f>VLOOKUP(B4144,合并仓明细!$D$2:$F$74,3,0)</f>
        <v>68</v>
      </c>
      <c r="D4144" s="122" t="s">
        <v>393</v>
      </c>
      <c r="E4144" s="123">
        <v>46048</v>
      </c>
      <c r="F4144" s="121" t="s">
        <v>68</v>
      </c>
      <c r="G4144" s="121">
        <v>127.032</v>
      </c>
      <c r="H4144" s="124">
        <v>1.59217736869</v>
      </c>
      <c r="I4144" s="46">
        <f>ROUNDUP(H4144/30,0)*VLOOKUP(D4144,'报价表-配送'!$B$61:$I$65,8,0)</f>
        <v>0</v>
      </c>
      <c r="J4144" s="125"/>
      <c r="K4144" s="125"/>
      <c r="L4144" s="121"/>
      <c r="M4144" s="126"/>
      <c r="N4144" s="127">
        <f t="shared" ref="N4144" si="450">SUM(I4144:L4144)</f>
        <v>0</v>
      </c>
    </row>
    <row r="4145" spans="1:14" x14ac:dyDescent="0.25">
      <c r="A4145" s="121" t="s">
        <v>241</v>
      </c>
      <c r="B4145" s="121" t="s">
        <v>175</v>
      </c>
      <c r="C4145" s="62">
        <f>VLOOKUP(B4145,合并仓明细!$D$2:$F$74,3,0)</f>
        <v>68</v>
      </c>
      <c r="D4145" s="122" t="s">
        <v>393</v>
      </c>
      <c r="E4145" s="123">
        <v>46048</v>
      </c>
      <c r="F4145" s="121" t="s">
        <v>67</v>
      </c>
      <c r="G4145" s="121">
        <v>551.72846400000003</v>
      </c>
      <c r="H4145" s="124"/>
      <c r="I4145" s="125"/>
      <c r="J4145" s="125"/>
      <c r="K4145" s="125"/>
      <c r="L4145" s="121"/>
      <c r="M4145" s="126"/>
      <c r="N4145" s="121"/>
    </row>
    <row r="4146" spans="1:14" x14ac:dyDescent="0.25">
      <c r="A4146" s="121" t="s">
        <v>241</v>
      </c>
      <c r="B4146" s="121" t="s">
        <v>175</v>
      </c>
      <c r="C4146" s="62">
        <f>VLOOKUP(B4146,合并仓明细!$D$2:$F$74,3,0)</f>
        <v>68</v>
      </c>
      <c r="D4146" s="122" t="s">
        <v>393</v>
      </c>
      <c r="E4146" s="123">
        <v>46048</v>
      </c>
      <c r="F4146" s="121" t="s">
        <v>66</v>
      </c>
      <c r="G4146" s="121">
        <v>913.41690469000002</v>
      </c>
      <c r="H4146" s="124"/>
      <c r="I4146" s="125"/>
      <c r="J4146" s="125"/>
      <c r="K4146" s="125"/>
      <c r="L4146" s="121"/>
      <c r="M4146" s="126"/>
      <c r="N4146" s="121"/>
    </row>
    <row r="4147" spans="1:14" x14ac:dyDescent="0.25">
      <c r="A4147" s="121" t="s">
        <v>241</v>
      </c>
      <c r="B4147" s="121" t="s">
        <v>175</v>
      </c>
      <c r="C4147" s="62">
        <f>VLOOKUP(B4147,合并仓明细!$D$2:$F$74,3,0)</f>
        <v>68</v>
      </c>
      <c r="D4147" s="122" t="s">
        <v>393</v>
      </c>
      <c r="E4147" s="123">
        <v>46057</v>
      </c>
      <c r="F4147" s="121" t="s">
        <v>68</v>
      </c>
      <c r="G4147" s="121">
        <v>12.77148</v>
      </c>
      <c r="H4147" s="124">
        <v>6.5736038628799998</v>
      </c>
      <c r="I4147" s="46">
        <f>ROUNDUP(H4147/30,0)*VLOOKUP(D4147,'报价表-配送'!$B$61:$I$65,8,0)</f>
        <v>0</v>
      </c>
      <c r="J4147" s="125"/>
      <c r="K4147" s="125"/>
      <c r="L4147" s="121"/>
      <c r="M4147" s="126"/>
      <c r="N4147" s="127">
        <f t="shared" ref="N4147" si="451">SUM(I4147:L4147)</f>
        <v>0</v>
      </c>
    </row>
    <row r="4148" spans="1:14" x14ac:dyDescent="0.25">
      <c r="A4148" s="121" t="s">
        <v>241</v>
      </c>
      <c r="B4148" s="121" t="s">
        <v>175</v>
      </c>
      <c r="C4148" s="62">
        <f>VLOOKUP(B4148,合并仓明细!$D$2:$F$74,3,0)</f>
        <v>68</v>
      </c>
      <c r="D4148" s="122" t="s">
        <v>393</v>
      </c>
      <c r="E4148" s="123">
        <v>46057</v>
      </c>
      <c r="F4148" s="121" t="s">
        <v>67</v>
      </c>
      <c r="G4148" s="121">
        <v>5955.5026699999999</v>
      </c>
      <c r="H4148" s="124"/>
      <c r="I4148" s="125"/>
      <c r="J4148" s="125"/>
      <c r="K4148" s="125"/>
      <c r="L4148" s="121"/>
      <c r="M4148" s="126"/>
      <c r="N4148" s="121"/>
    </row>
    <row r="4149" spans="1:14" x14ac:dyDescent="0.25">
      <c r="A4149" s="121" t="s">
        <v>241</v>
      </c>
      <c r="B4149" s="121" t="s">
        <v>175</v>
      </c>
      <c r="C4149" s="62">
        <f>VLOOKUP(B4149,合并仓明细!$D$2:$F$74,3,0)</f>
        <v>68</v>
      </c>
      <c r="D4149" s="122" t="s">
        <v>393</v>
      </c>
      <c r="E4149" s="123">
        <v>46057</v>
      </c>
      <c r="F4149" s="121" t="s">
        <v>66</v>
      </c>
      <c r="G4149" s="121">
        <v>605.32971287999999</v>
      </c>
      <c r="H4149" s="124"/>
      <c r="I4149" s="125"/>
      <c r="J4149" s="125"/>
      <c r="K4149" s="125"/>
      <c r="L4149" s="121"/>
      <c r="M4149" s="126"/>
      <c r="N4149" s="121"/>
    </row>
    <row r="4150" spans="1:14" x14ac:dyDescent="0.25">
      <c r="A4150" s="121" t="s">
        <v>241</v>
      </c>
      <c r="B4150" s="121" t="s">
        <v>175</v>
      </c>
      <c r="C4150" s="62">
        <f>VLOOKUP(B4150,合并仓明细!$D$2:$F$74,3,0)</f>
        <v>68</v>
      </c>
      <c r="D4150" s="122" t="s">
        <v>393</v>
      </c>
      <c r="E4150" s="123">
        <v>46084</v>
      </c>
      <c r="F4150" s="121" t="s">
        <v>66</v>
      </c>
      <c r="G4150" s="121">
        <v>18</v>
      </c>
      <c r="H4150" s="124">
        <v>1.7999999999999999E-2</v>
      </c>
      <c r="I4150" s="125"/>
      <c r="J4150" s="125"/>
      <c r="K4150" s="125"/>
      <c r="L4150" s="37">
        <f>IF(H4150&gt;30,QUOTIENT(H4150,30)*VLOOKUP(D4150,'报价表-配送'!$B$61:$I$65,8,0),0)+IF(AND(MOD(H4150,30)&gt;18,MOD(H4150,30)&lt;=30),1,0)*VLOOKUP(D4150,'报价表-配送'!$B$61:$I$65,8,0)+IF(AND(MOD(H4150,30)&gt;8,MOD(H4150,30)&lt;=18),1*VLOOKUP(D4150,'报价表-配送'!$B$61:$I$65,7,0),0)+IF(AND(MOD(H4150,30)&lt;=8,MOD(H4150,30)&gt;2.5),1,0)*VLOOKUP(D4150,'报价表-配送'!$B$61:$I$65,6,0)+IF(AND(MOD(H4150,30)&lt;=2.5,MOD(H4150,30)&gt;=1.5),1,0)*VLOOKUP(D4150,'报价表-配送'!$B$61:$I$65,5,0)</f>
        <v>0</v>
      </c>
      <c r="M4150" s="39">
        <f>IF(AND(MOD(H4150,30)&lt;1.5,MOD(H4150,30)&gt;=0.5),H4150,0)*VLOOKUP(D4150,'报价表-配送'!$B$61:$I$65,4,0)*1000+IF(AND(MOD(H4150,30)&lt;0.5,MOD(H4150,30)&gt;=0.02),H4150,0)*VLOOKUP(D4150,'报价表-配送'!$B$61:$I$65,3,0)*1000+IF(AND(MOD(H4150,30)&lt;0.02),H4150,0)*VLOOKUP(D4150,'报价表-配送'!$B$61:$I$65,2,0)*1000</f>
        <v>0</v>
      </c>
      <c r="N4150" s="127">
        <f t="shared" ref="N4150:N4151" si="452">SUM(I4150:L4150)</f>
        <v>0</v>
      </c>
    </row>
    <row r="4151" spans="1:14" x14ac:dyDescent="0.25">
      <c r="A4151" s="121" t="s">
        <v>241</v>
      </c>
      <c r="B4151" s="121" t="s">
        <v>175</v>
      </c>
      <c r="C4151" s="62">
        <f>VLOOKUP(B4151,合并仓明细!$D$2:$F$74,3,0)</f>
        <v>68</v>
      </c>
      <c r="D4151" s="122" t="s">
        <v>393</v>
      </c>
      <c r="E4151" s="123">
        <v>46092</v>
      </c>
      <c r="F4151" s="121" t="s">
        <v>67</v>
      </c>
      <c r="G4151" s="121">
        <v>3051.700272</v>
      </c>
      <c r="H4151" s="124">
        <v>3.052690272</v>
      </c>
      <c r="I4151" s="38">
        <f>IF(H4151&gt;30,QUOTIENT(H4151,30)*VLOOKUP(D4151,'报价表-配送'!$B$61:$I$65,8,0),0)+IF(AND(MOD(H4151,30)&gt;18,MOD(H4151,30)&lt;=30),1,0)*VLOOKUP(D4151,'报价表-配送'!$B$61:$I$65,8,0)</f>
        <v>0</v>
      </c>
      <c r="J4151" s="38">
        <f>IF(AND(MOD(H4151,30)&gt;8,MOD(H4151,30)&lt;=18),1*VLOOKUP(D4151,'报价表-配送'!$B$61:$I$65,7,0),0)</f>
        <v>0</v>
      </c>
      <c r="K4151" s="38">
        <f>IF(AND(MOD(H4151,30)&lt;=8,MOD(H4151,30)&gt;0),1,0)*VLOOKUP(D4151,'报价表-配送'!$B$61:$I$65,6,0)</f>
        <v>0</v>
      </c>
      <c r="L4151" s="121"/>
      <c r="M4151" s="126"/>
      <c r="N4151" s="127">
        <f t="shared" si="452"/>
        <v>0</v>
      </c>
    </row>
    <row r="4152" spans="1:14" x14ac:dyDescent="0.25">
      <c r="A4152" s="121" t="s">
        <v>241</v>
      </c>
      <c r="B4152" s="121" t="s">
        <v>175</v>
      </c>
      <c r="C4152" s="62">
        <f>VLOOKUP(B4152,合并仓明细!$D$2:$F$74,3,0)</f>
        <v>68</v>
      </c>
      <c r="D4152" s="122" t="s">
        <v>393</v>
      </c>
      <c r="E4152" s="123">
        <v>46092</v>
      </c>
      <c r="F4152" s="121" t="s">
        <v>66</v>
      </c>
      <c r="G4152" s="121">
        <v>0.99</v>
      </c>
      <c r="H4152" s="124"/>
      <c r="I4152" s="125"/>
      <c r="J4152" s="125"/>
      <c r="K4152" s="125"/>
      <c r="L4152" s="121"/>
      <c r="M4152" s="126"/>
      <c r="N4152" s="121"/>
    </row>
    <row r="4153" spans="1:14" x14ac:dyDescent="0.25">
      <c r="A4153" s="121" t="s">
        <v>241</v>
      </c>
      <c r="B4153" s="121" t="s">
        <v>175</v>
      </c>
      <c r="C4153" s="62">
        <f>VLOOKUP(B4153,合并仓明细!$D$2:$F$74,3,0)</f>
        <v>68</v>
      </c>
      <c r="D4153" s="122" t="s">
        <v>393</v>
      </c>
      <c r="E4153" s="123">
        <v>46098</v>
      </c>
      <c r="F4153" s="121" t="s">
        <v>68</v>
      </c>
      <c r="G4153" s="121">
        <v>323.14319999999998</v>
      </c>
      <c r="H4153" s="124">
        <v>5.4946080323899995</v>
      </c>
      <c r="I4153" s="46">
        <f>ROUNDUP(H4153/30,0)*VLOOKUP(D4153,'报价表-配送'!$B$61:$I$65,8,0)</f>
        <v>0</v>
      </c>
      <c r="J4153" s="125"/>
      <c r="K4153" s="125"/>
      <c r="L4153" s="121"/>
      <c r="M4153" s="126"/>
      <c r="N4153" s="127">
        <f t="shared" ref="N4153" si="453">SUM(I4153:L4153)</f>
        <v>0</v>
      </c>
    </row>
    <row r="4154" spans="1:14" x14ac:dyDescent="0.25">
      <c r="A4154" s="121" t="s">
        <v>241</v>
      </c>
      <c r="B4154" s="121" t="s">
        <v>175</v>
      </c>
      <c r="C4154" s="62">
        <f>VLOOKUP(B4154,合并仓明细!$D$2:$F$74,3,0)</f>
        <v>68</v>
      </c>
      <c r="D4154" s="122" t="s">
        <v>393</v>
      </c>
      <c r="E4154" s="123">
        <v>46098</v>
      </c>
      <c r="F4154" s="121" t="s">
        <v>67</v>
      </c>
      <c r="G4154" s="121">
        <v>4591.1138799999999</v>
      </c>
      <c r="H4154" s="124"/>
      <c r="I4154" s="125"/>
      <c r="J4154" s="125"/>
      <c r="K4154" s="125"/>
      <c r="L4154" s="121"/>
      <c r="M4154" s="126"/>
      <c r="N4154" s="121"/>
    </row>
    <row r="4155" spans="1:14" x14ac:dyDescent="0.25">
      <c r="A4155" s="121" t="s">
        <v>241</v>
      </c>
      <c r="B4155" s="121" t="s">
        <v>175</v>
      </c>
      <c r="C4155" s="62">
        <f>VLOOKUP(B4155,合并仓明细!$D$2:$F$74,3,0)</f>
        <v>68</v>
      </c>
      <c r="D4155" s="122" t="s">
        <v>393</v>
      </c>
      <c r="E4155" s="123">
        <v>46098</v>
      </c>
      <c r="F4155" s="121" t="s">
        <v>66</v>
      </c>
      <c r="G4155" s="121">
        <v>580.35095238999986</v>
      </c>
      <c r="H4155" s="124"/>
      <c r="I4155" s="125"/>
      <c r="J4155" s="125"/>
      <c r="K4155" s="125"/>
      <c r="L4155" s="121"/>
      <c r="M4155" s="126"/>
      <c r="N4155" s="121"/>
    </row>
    <row r="4156" spans="1:14" x14ac:dyDescent="0.25">
      <c r="A4156" s="121" t="s">
        <v>241</v>
      </c>
      <c r="B4156" s="121" t="s">
        <v>175</v>
      </c>
      <c r="C4156" s="62">
        <f>VLOOKUP(B4156,合并仓明细!$D$2:$F$74,3,0)</f>
        <v>68</v>
      </c>
      <c r="D4156" s="122" t="s">
        <v>393</v>
      </c>
      <c r="E4156" s="123">
        <v>46099</v>
      </c>
      <c r="F4156" s="121" t="s">
        <v>68</v>
      </c>
      <c r="G4156" s="121">
        <v>613.47360000000003</v>
      </c>
      <c r="H4156" s="124">
        <v>27.838710938000006</v>
      </c>
      <c r="I4156" s="46">
        <f>ROUNDUP(H4156/30,0)*VLOOKUP(D4156,'报价表-配送'!$B$61:$I$65,8,0)</f>
        <v>0</v>
      </c>
      <c r="J4156" s="125"/>
      <c r="K4156" s="125"/>
      <c r="L4156" s="121"/>
      <c r="M4156" s="126"/>
      <c r="N4156" s="127">
        <f t="shared" ref="N4156" si="454">SUM(I4156:L4156)</f>
        <v>0</v>
      </c>
    </row>
    <row r="4157" spans="1:14" x14ac:dyDescent="0.25">
      <c r="A4157" s="121" t="s">
        <v>241</v>
      </c>
      <c r="B4157" s="121" t="s">
        <v>175</v>
      </c>
      <c r="C4157" s="62">
        <f>VLOOKUP(B4157,合并仓明细!$D$2:$F$74,3,0)</f>
        <v>68</v>
      </c>
      <c r="D4157" s="122" t="s">
        <v>393</v>
      </c>
      <c r="E4157" s="123">
        <v>46099</v>
      </c>
      <c r="F4157" s="121" t="s">
        <v>67</v>
      </c>
      <c r="G4157" s="121">
        <v>26778.652338000004</v>
      </c>
      <c r="H4157" s="124"/>
      <c r="I4157" s="125"/>
      <c r="J4157" s="125"/>
      <c r="K4157" s="125"/>
      <c r="L4157" s="121"/>
      <c r="M4157" s="126"/>
      <c r="N4157" s="121"/>
    </row>
    <row r="4158" spans="1:14" x14ac:dyDescent="0.25">
      <c r="A4158" s="121" t="s">
        <v>241</v>
      </c>
      <c r="B4158" s="121" t="s">
        <v>175</v>
      </c>
      <c r="C4158" s="62">
        <f>VLOOKUP(B4158,合并仓明细!$D$2:$F$74,3,0)</f>
        <v>68</v>
      </c>
      <c r="D4158" s="122" t="s">
        <v>393</v>
      </c>
      <c r="E4158" s="123">
        <v>46099</v>
      </c>
      <c r="F4158" s="121" t="s">
        <v>66</v>
      </c>
      <c r="G4158" s="121">
        <v>446.58499999999998</v>
      </c>
      <c r="H4158" s="124"/>
      <c r="I4158" s="125"/>
      <c r="J4158" s="125"/>
      <c r="K4158" s="125"/>
      <c r="L4158" s="121"/>
      <c r="M4158" s="126"/>
      <c r="N4158" s="121"/>
    </row>
    <row r="4159" spans="1:14" x14ac:dyDescent="0.25">
      <c r="A4159" s="121" t="s">
        <v>241</v>
      </c>
      <c r="B4159" s="121" t="s">
        <v>175</v>
      </c>
      <c r="C4159" s="62">
        <f>VLOOKUP(B4159,合并仓明细!$D$2:$F$74,3,0)</f>
        <v>68</v>
      </c>
      <c r="D4159" s="122" t="s">
        <v>393</v>
      </c>
      <c r="E4159" s="123">
        <v>46100</v>
      </c>
      <c r="F4159" s="121" t="s">
        <v>68</v>
      </c>
      <c r="G4159" s="121">
        <v>1345.6048800000001</v>
      </c>
      <c r="H4159" s="124">
        <v>6.10888867214</v>
      </c>
      <c r="I4159" s="46">
        <f>ROUNDUP(H4159/30,0)*VLOOKUP(D4159,'报价表-配送'!$B$61:$I$65,8,0)</f>
        <v>0</v>
      </c>
      <c r="J4159" s="125"/>
      <c r="K4159" s="125"/>
      <c r="L4159" s="121"/>
      <c r="M4159" s="126"/>
      <c r="N4159" s="127">
        <f t="shared" ref="N4159" si="455">SUM(I4159:L4159)</f>
        <v>0</v>
      </c>
    </row>
    <row r="4160" spans="1:14" x14ac:dyDescent="0.25">
      <c r="A4160" s="121" t="s">
        <v>241</v>
      </c>
      <c r="B4160" s="121" t="s">
        <v>175</v>
      </c>
      <c r="C4160" s="62">
        <f>VLOOKUP(B4160,合并仓明细!$D$2:$F$74,3,0)</f>
        <v>68</v>
      </c>
      <c r="D4160" s="122" t="s">
        <v>393</v>
      </c>
      <c r="E4160" s="123">
        <v>46100</v>
      </c>
      <c r="F4160" s="121" t="s">
        <v>67</v>
      </c>
      <c r="G4160" s="121">
        <v>4478.1686921400005</v>
      </c>
      <c r="H4160" s="124"/>
      <c r="I4160" s="125"/>
      <c r="J4160" s="125"/>
      <c r="K4160" s="125"/>
      <c r="L4160" s="121"/>
      <c r="M4160" s="126"/>
      <c r="N4160" s="121"/>
    </row>
    <row r="4161" spans="1:14" x14ac:dyDescent="0.25">
      <c r="A4161" s="121" t="s">
        <v>241</v>
      </c>
      <c r="B4161" s="121" t="s">
        <v>175</v>
      </c>
      <c r="C4161" s="62">
        <f>VLOOKUP(B4161,合并仓明细!$D$2:$F$74,3,0)</f>
        <v>68</v>
      </c>
      <c r="D4161" s="122" t="s">
        <v>393</v>
      </c>
      <c r="E4161" s="123">
        <v>46100</v>
      </c>
      <c r="F4161" s="121" t="s">
        <v>66</v>
      </c>
      <c r="G4161" s="121">
        <v>285.11509999999998</v>
      </c>
      <c r="H4161" s="124"/>
      <c r="I4161" s="125"/>
      <c r="J4161" s="125"/>
      <c r="K4161" s="125"/>
      <c r="L4161" s="121"/>
      <c r="M4161" s="126"/>
      <c r="N4161" s="121"/>
    </row>
    <row r="4162" spans="1:14" x14ac:dyDescent="0.25">
      <c r="A4162" s="121" t="s">
        <v>241</v>
      </c>
      <c r="B4162" s="121" t="s">
        <v>175</v>
      </c>
      <c r="C4162" s="62">
        <f>VLOOKUP(B4162,合并仓明细!$D$2:$F$74,3,0)</f>
        <v>68</v>
      </c>
      <c r="D4162" s="122" t="s">
        <v>393</v>
      </c>
      <c r="E4162" s="123">
        <v>46101</v>
      </c>
      <c r="F4162" s="121" t="s">
        <v>66</v>
      </c>
      <c r="G4162" s="121">
        <v>103.56345238</v>
      </c>
      <c r="H4162" s="124">
        <v>0.10356345238</v>
      </c>
      <c r="I4162" s="125"/>
      <c r="J4162" s="125"/>
      <c r="K4162" s="125"/>
      <c r="L4162" s="37">
        <f>IF(H4162&gt;30,QUOTIENT(H4162,30)*VLOOKUP(D4162,'报价表-配送'!$B$61:$I$65,8,0),0)+IF(AND(MOD(H4162,30)&gt;18,MOD(H4162,30)&lt;=30),1,0)*VLOOKUP(D4162,'报价表-配送'!$B$61:$I$65,8,0)+IF(AND(MOD(H4162,30)&gt;8,MOD(H4162,30)&lt;=18),1*VLOOKUP(D4162,'报价表-配送'!$B$61:$I$65,7,0),0)+IF(AND(MOD(H4162,30)&lt;=8,MOD(H4162,30)&gt;2.5),1,0)*VLOOKUP(D4162,'报价表-配送'!$B$61:$I$65,6,0)+IF(AND(MOD(H4162,30)&lt;=2.5,MOD(H4162,30)&gt;=1.5),1,0)*VLOOKUP(D4162,'报价表-配送'!$B$61:$I$65,5,0)</f>
        <v>0</v>
      </c>
      <c r="M4162" s="39">
        <f>IF(AND(MOD(H4162,30)&lt;1.5,MOD(H4162,30)&gt;=0.5),H4162,0)*VLOOKUP(D4162,'报价表-配送'!$B$61:$I$65,4,0)*1000+IF(AND(MOD(H4162,30)&lt;0.5,MOD(H4162,30)&gt;=0.02),H4162,0)*VLOOKUP(D4162,'报价表-配送'!$B$61:$I$65,3,0)*1000+IF(AND(MOD(H4162,30)&lt;0.02),H4162,0)*VLOOKUP(D4162,'报价表-配送'!$B$61:$I$65,2,0)*1000</f>
        <v>0</v>
      </c>
      <c r="N4162" s="127">
        <f t="shared" ref="N4162:N4163" si="456">SUM(I4162:L4162)</f>
        <v>0</v>
      </c>
    </row>
    <row r="4163" spans="1:14" x14ac:dyDescent="0.25">
      <c r="A4163" s="121" t="s">
        <v>241</v>
      </c>
      <c r="B4163" s="121" t="s">
        <v>175</v>
      </c>
      <c r="C4163" s="62">
        <f>VLOOKUP(B4163,合并仓明细!$D$2:$F$74,3,0)</f>
        <v>68</v>
      </c>
      <c r="D4163" s="122" t="s">
        <v>393</v>
      </c>
      <c r="E4163" s="123">
        <v>46104</v>
      </c>
      <c r="F4163" s="121" t="s">
        <v>68</v>
      </c>
      <c r="G4163" s="121">
        <v>119.87148000000001</v>
      </c>
      <c r="H4163" s="124">
        <v>4.7118635606599995</v>
      </c>
      <c r="I4163" s="46">
        <f>ROUNDUP(H4163/30,0)*VLOOKUP(D4163,'报价表-配送'!$B$61:$I$65,8,0)</f>
        <v>0</v>
      </c>
      <c r="J4163" s="125"/>
      <c r="K4163" s="125"/>
      <c r="L4163" s="121"/>
      <c r="M4163" s="126"/>
      <c r="N4163" s="127">
        <f t="shared" si="456"/>
        <v>0</v>
      </c>
    </row>
    <row r="4164" spans="1:14" x14ac:dyDescent="0.25">
      <c r="A4164" s="121" t="s">
        <v>241</v>
      </c>
      <c r="B4164" s="121" t="s">
        <v>175</v>
      </c>
      <c r="C4164" s="62">
        <f>VLOOKUP(B4164,合并仓明细!$D$2:$F$74,3,0)</f>
        <v>68</v>
      </c>
      <c r="D4164" s="122" t="s">
        <v>393</v>
      </c>
      <c r="E4164" s="123">
        <v>46104</v>
      </c>
      <c r="F4164" s="121" t="s">
        <v>67</v>
      </c>
      <c r="G4164" s="121">
        <v>3361.4591639999999</v>
      </c>
      <c r="H4164" s="124"/>
      <c r="I4164" s="125"/>
      <c r="J4164" s="125"/>
      <c r="K4164" s="125"/>
      <c r="L4164" s="121"/>
      <c r="M4164" s="126"/>
      <c r="N4164" s="121"/>
    </row>
    <row r="4165" spans="1:14" x14ac:dyDescent="0.25">
      <c r="A4165" s="121" t="s">
        <v>241</v>
      </c>
      <c r="B4165" s="121" t="s">
        <v>175</v>
      </c>
      <c r="C4165" s="62">
        <f>VLOOKUP(B4165,合并仓明细!$D$2:$F$74,3,0)</f>
        <v>68</v>
      </c>
      <c r="D4165" s="122" t="s">
        <v>393</v>
      </c>
      <c r="E4165" s="123">
        <v>46104</v>
      </c>
      <c r="F4165" s="121" t="s">
        <v>66</v>
      </c>
      <c r="G4165" s="121">
        <v>1230.5329166599995</v>
      </c>
      <c r="H4165" s="124"/>
      <c r="I4165" s="125"/>
      <c r="J4165" s="125"/>
      <c r="K4165" s="125"/>
      <c r="L4165" s="121"/>
      <c r="M4165" s="126"/>
      <c r="N4165" s="121"/>
    </row>
    <row r="4166" spans="1:14" x14ac:dyDescent="0.25">
      <c r="A4166" s="121" t="s">
        <v>241</v>
      </c>
      <c r="B4166" s="121" t="s">
        <v>175</v>
      </c>
      <c r="C4166" s="62">
        <f>VLOOKUP(B4166,合并仓明细!$D$2:$F$74,3,0)</f>
        <v>68</v>
      </c>
      <c r="D4166" s="122" t="s">
        <v>393</v>
      </c>
      <c r="E4166" s="123">
        <v>46105</v>
      </c>
      <c r="F4166" s="121" t="s">
        <v>68</v>
      </c>
      <c r="G4166" s="121">
        <v>341.82576</v>
      </c>
      <c r="H4166" s="124">
        <v>18.840817566000005</v>
      </c>
      <c r="I4166" s="46">
        <f>ROUNDUP(H4166/30,0)*VLOOKUP(D4166,'报价表-配送'!$B$61:$I$65,8,0)</f>
        <v>0</v>
      </c>
      <c r="J4166" s="125"/>
      <c r="K4166" s="125"/>
      <c r="L4166" s="121"/>
      <c r="M4166" s="126"/>
      <c r="N4166" s="127">
        <f t="shared" ref="N4166" si="457">SUM(I4166:L4166)</f>
        <v>0</v>
      </c>
    </row>
    <row r="4167" spans="1:14" x14ac:dyDescent="0.25">
      <c r="A4167" s="121" t="s">
        <v>241</v>
      </c>
      <c r="B4167" s="121" t="s">
        <v>175</v>
      </c>
      <c r="C4167" s="62">
        <f>VLOOKUP(B4167,合并仓明细!$D$2:$F$74,3,0)</f>
        <v>68</v>
      </c>
      <c r="D4167" s="122" t="s">
        <v>393</v>
      </c>
      <c r="E4167" s="123">
        <v>46105</v>
      </c>
      <c r="F4167" s="121" t="s">
        <v>67</v>
      </c>
      <c r="G4167" s="121">
        <v>18393.091806000004</v>
      </c>
      <c r="H4167" s="124"/>
      <c r="I4167" s="125"/>
      <c r="J4167" s="125"/>
      <c r="K4167" s="125"/>
      <c r="L4167" s="121"/>
      <c r="M4167" s="126"/>
      <c r="N4167" s="121"/>
    </row>
    <row r="4168" spans="1:14" x14ac:dyDescent="0.25">
      <c r="A4168" s="121" t="s">
        <v>241</v>
      </c>
      <c r="B4168" s="121" t="s">
        <v>175</v>
      </c>
      <c r="C4168" s="62">
        <f>VLOOKUP(B4168,合并仓明细!$D$2:$F$74,3,0)</f>
        <v>68</v>
      </c>
      <c r="D4168" s="122" t="s">
        <v>393</v>
      </c>
      <c r="E4168" s="123">
        <v>46105</v>
      </c>
      <c r="F4168" s="121" t="s">
        <v>66</v>
      </c>
      <c r="G4168" s="121">
        <v>105.9</v>
      </c>
      <c r="H4168" s="124"/>
      <c r="I4168" s="125"/>
      <c r="J4168" s="125"/>
      <c r="K4168" s="125"/>
      <c r="L4168" s="121"/>
      <c r="M4168" s="126"/>
      <c r="N4168" s="121"/>
    </row>
    <row r="4169" spans="1:14" x14ac:dyDescent="0.25">
      <c r="A4169" s="121" t="s">
        <v>241</v>
      </c>
      <c r="B4169" s="121" t="s">
        <v>175</v>
      </c>
      <c r="C4169" s="62">
        <f>VLOOKUP(B4169,合并仓明细!$D$2:$F$74,3,0)</f>
        <v>68</v>
      </c>
      <c r="D4169" s="122" t="s">
        <v>393</v>
      </c>
      <c r="E4169" s="123">
        <v>46106</v>
      </c>
      <c r="F4169" s="121" t="s">
        <v>67</v>
      </c>
      <c r="G4169" s="121">
        <v>2611.2511199999999</v>
      </c>
      <c r="H4169" s="124">
        <v>5.4064586199799995</v>
      </c>
      <c r="I4169" s="38">
        <f>IF(H4169&gt;30,QUOTIENT(H4169,30)*VLOOKUP(D4169,'报价表-配送'!$B$61:$I$65,8,0),0)+IF(AND(MOD(H4169,30)&gt;18,MOD(H4169,30)&lt;=30),1,0)*VLOOKUP(D4169,'报价表-配送'!$B$61:$I$65,8,0)</f>
        <v>0</v>
      </c>
      <c r="J4169" s="38">
        <f>IF(AND(MOD(H4169,30)&gt;8,MOD(H4169,30)&lt;=18),1*VLOOKUP(D4169,'报价表-配送'!$B$61:$I$65,7,0),0)</f>
        <v>0</v>
      </c>
      <c r="K4169" s="38">
        <f>IF(AND(MOD(H4169,30)&lt;=8,MOD(H4169,30)&gt;0),1,0)*VLOOKUP(D4169,'报价表-配送'!$B$61:$I$65,6,0)</f>
        <v>0</v>
      </c>
      <c r="L4169" s="121"/>
      <c r="M4169" s="126"/>
      <c r="N4169" s="127">
        <f t="shared" ref="N4169" si="458">SUM(I4169:L4169)</f>
        <v>0</v>
      </c>
    </row>
    <row r="4170" spans="1:14" x14ac:dyDescent="0.25">
      <c r="A4170" s="121" t="s">
        <v>241</v>
      </c>
      <c r="B4170" s="121" t="s">
        <v>175</v>
      </c>
      <c r="C4170" s="62">
        <f>VLOOKUP(B4170,合并仓明细!$D$2:$F$74,3,0)</f>
        <v>68</v>
      </c>
      <c r="D4170" s="122" t="s">
        <v>393</v>
      </c>
      <c r="E4170" s="123">
        <v>46106</v>
      </c>
      <c r="F4170" s="121" t="s">
        <v>66</v>
      </c>
      <c r="G4170" s="121">
        <v>2795.2074999800002</v>
      </c>
      <c r="H4170" s="124"/>
      <c r="I4170" s="125"/>
      <c r="J4170" s="125"/>
      <c r="K4170" s="125"/>
      <c r="L4170" s="121"/>
      <c r="M4170" s="126"/>
      <c r="N4170" s="121"/>
    </row>
    <row r="4171" spans="1:14" x14ac:dyDescent="0.25">
      <c r="A4171" s="121" t="s">
        <v>81</v>
      </c>
      <c r="B4171" s="121" t="s">
        <v>163</v>
      </c>
      <c r="C4171" s="62">
        <f>VLOOKUP(B4171,合并仓明细!$D$2:$F$74,3,0)</f>
        <v>115</v>
      </c>
      <c r="D4171" s="122" t="s">
        <v>413</v>
      </c>
      <c r="E4171" s="123">
        <v>45940</v>
      </c>
      <c r="F4171" s="121" t="s">
        <v>67</v>
      </c>
      <c r="G4171" s="121">
        <v>11846.94</v>
      </c>
      <c r="H4171" s="124">
        <v>22.067440000000001</v>
      </c>
      <c r="I4171" s="38">
        <f>IF(H4171&gt;30,QUOTIENT(H4171,30)*VLOOKUP(D4171,'报价表-配送'!$B$32:$I$37,8,0),0)+IF(AND(MOD(H4171,30)&gt;18,MOD(H4171,30)&lt;=30),1,0)*VLOOKUP(D4171,'报价表-配送'!$B$32:$I$37,8,0)</f>
        <v>0</v>
      </c>
      <c r="J4171" s="38">
        <f>IF(AND(MOD(H4171,30)&gt;8,MOD(H4171,30)&lt;=18),1*VLOOKUP(D4171,'报价表-配送'!$B$32:$I$37,7,0),0)</f>
        <v>0</v>
      </c>
      <c r="K4171" s="38">
        <f>IF(AND(MOD(H4171,30)&lt;=8,MOD(H4171,30)&gt;0),1,0)*VLOOKUP(D4171,'报价表-配送'!$B$32:$I$37,6,0)</f>
        <v>0</v>
      </c>
      <c r="L4171" s="121"/>
      <c r="M4171" s="126"/>
      <c r="N4171" s="127">
        <f t="shared" ref="N4171" si="459">SUM(I4171:L4171)</f>
        <v>0</v>
      </c>
    </row>
    <row r="4172" spans="1:14" x14ac:dyDescent="0.25">
      <c r="A4172" s="121" t="s">
        <v>81</v>
      </c>
      <c r="B4172" s="121" t="s">
        <v>163</v>
      </c>
      <c r="C4172" s="62">
        <f>VLOOKUP(B4172,合并仓明细!$D$2:$F$74,3,0)</f>
        <v>115</v>
      </c>
      <c r="D4172" s="122" t="s">
        <v>413</v>
      </c>
      <c r="E4172" s="123">
        <v>45940</v>
      </c>
      <c r="F4172" s="121" t="s">
        <v>66</v>
      </c>
      <c r="G4172" s="121">
        <v>10220.5</v>
      </c>
      <c r="H4172" s="124"/>
      <c r="I4172" s="125"/>
      <c r="J4172" s="125"/>
      <c r="K4172" s="125"/>
      <c r="L4172" s="121"/>
      <c r="M4172" s="126"/>
      <c r="N4172" s="121"/>
    </row>
    <row r="4173" spans="1:14" x14ac:dyDescent="0.25">
      <c r="A4173" s="121" t="s">
        <v>81</v>
      </c>
      <c r="B4173" s="121" t="s">
        <v>163</v>
      </c>
      <c r="C4173" s="62">
        <f>VLOOKUP(B4173,合并仓明细!$D$2:$F$74,3,0)</f>
        <v>115</v>
      </c>
      <c r="D4173" s="122" t="s">
        <v>413</v>
      </c>
      <c r="E4173" s="123">
        <v>45943</v>
      </c>
      <c r="F4173" s="121" t="s">
        <v>68</v>
      </c>
      <c r="G4173" s="121">
        <v>51.65</v>
      </c>
      <c r="H4173" s="124">
        <v>2.9165299999999998</v>
      </c>
      <c r="I4173" s="46">
        <f>ROUNDUP(H4173/30,0)*VLOOKUP(D4173,'报价表-配送'!$B$32:$I$37,8,0)</f>
        <v>0</v>
      </c>
      <c r="J4173" s="125"/>
      <c r="K4173" s="125"/>
      <c r="L4173" s="121"/>
      <c r="M4173" s="126"/>
      <c r="N4173" s="127">
        <f t="shared" ref="N4173" si="460">SUM(I4173:L4173)</f>
        <v>0</v>
      </c>
    </row>
    <row r="4174" spans="1:14" x14ac:dyDescent="0.25">
      <c r="A4174" s="121" t="s">
        <v>81</v>
      </c>
      <c r="B4174" s="121" t="s">
        <v>163</v>
      </c>
      <c r="C4174" s="62">
        <f>VLOOKUP(B4174,合并仓明细!$D$2:$F$74,3,0)</f>
        <v>115</v>
      </c>
      <c r="D4174" s="122" t="s">
        <v>413</v>
      </c>
      <c r="E4174" s="123">
        <v>45943</v>
      </c>
      <c r="F4174" s="121" t="s">
        <v>67</v>
      </c>
      <c r="G4174" s="121">
        <v>1523.5499999999997</v>
      </c>
      <c r="H4174" s="124"/>
      <c r="I4174" s="125"/>
      <c r="J4174" s="125"/>
      <c r="K4174" s="125"/>
      <c r="L4174" s="121"/>
      <c r="M4174" s="126"/>
      <c r="N4174" s="121"/>
    </row>
    <row r="4175" spans="1:14" x14ac:dyDescent="0.25">
      <c r="A4175" s="121" t="s">
        <v>81</v>
      </c>
      <c r="B4175" s="121" t="s">
        <v>163</v>
      </c>
      <c r="C4175" s="62">
        <f>VLOOKUP(B4175,合并仓明细!$D$2:$F$74,3,0)</f>
        <v>115</v>
      </c>
      <c r="D4175" s="122" t="s">
        <v>413</v>
      </c>
      <c r="E4175" s="123">
        <v>45943</v>
      </c>
      <c r="F4175" s="121" t="s">
        <v>66</v>
      </c>
      <c r="G4175" s="121">
        <v>1341.3299999999997</v>
      </c>
      <c r="H4175" s="124"/>
      <c r="I4175" s="125"/>
      <c r="J4175" s="125"/>
      <c r="K4175" s="125"/>
      <c r="L4175" s="121"/>
      <c r="M4175" s="126"/>
      <c r="N4175" s="121"/>
    </row>
    <row r="4176" spans="1:14" x14ac:dyDescent="0.25">
      <c r="A4176" s="121" t="s">
        <v>81</v>
      </c>
      <c r="B4176" s="121" t="s">
        <v>163</v>
      </c>
      <c r="C4176" s="62">
        <f>VLOOKUP(B4176,合并仓明细!$D$2:$F$74,3,0)</f>
        <v>115</v>
      </c>
      <c r="D4176" s="122" t="s">
        <v>413</v>
      </c>
      <c r="E4176" s="123">
        <v>45944</v>
      </c>
      <c r="F4176" s="121" t="s">
        <v>68</v>
      </c>
      <c r="G4176" s="121">
        <v>196.92</v>
      </c>
      <c r="H4176" s="124">
        <v>0.30470999999999998</v>
      </c>
      <c r="I4176" s="46">
        <f>ROUNDUP(H4176/30,0)*VLOOKUP(D4176,'报价表-配送'!$B$32:$I$37,8,0)</f>
        <v>0</v>
      </c>
      <c r="J4176" s="125"/>
      <c r="K4176" s="125"/>
      <c r="L4176" s="121"/>
      <c r="M4176" s="126"/>
      <c r="N4176" s="127">
        <f t="shared" ref="N4176" si="461">SUM(I4176:L4176)</f>
        <v>0</v>
      </c>
    </row>
    <row r="4177" spans="1:14" x14ac:dyDescent="0.25">
      <c r="A4177" s="121" t="s">
        <v>81</v>
      </c>
      <c r="B4177" s="121" t="s">
        <v>163</v>
      </c>
      <c r="C4177" s="62">
        <f>VLOOKUP(B4177,合并仓明细!$D$2:$F$74,3,0)</f>
        <v>115</v>
      </c>
      <c r="D4177" s="122" t="s">
        <v>413</v>
      </c>
      <c r="E4177" s="123">
        <v>45944</v>
      </c>
      <c r="F4177" s="121" t="s">
        <v>67</v>
      </c>
      <c r="G4177" s="121">
        <v>53.92</v>
      </c>
      <c r="H4177" s="124"/>
      <c r="I4177" s="125"/>
      <c r="J4177" s="125"/>
      <c r="K4177" s="125"/>
      <c r="L4177" s="121"/>
      <c r="M4177" s="126"/>
      <c r="N4177" s="121"/>
    </row>
    <row r="4178" spans="1:14" x14ac:dyDescent="0.25">
      <c r="A4178" s="121" t="s">
        <v>81</v>
      </c>
      <c r="B4178" s="121" t="s">
        <v>163</v>
      </c>
      <c r="C4178" s="62">
        <f>VLOOKUP(B4178,合并仓明细!$D$2:$F$74,3,0)</f>
        <v>115</v>
      </c>
      <c r="D4178" s="122" t="s">
        <v>413</v>
      </c>
      <c r="E4178" s="123">
        <v>45944</v>
      </c>
      <c r="F4178" s="121" t="s">
        <v>66</v>
      </c>
      <c r="G4178" s="121">
        <v>53.87</v>
      </c>
      <c r="H4178" s="124"/>
      <c r="I4178" s="125"/>
      <c r="J4178" s="125"/>
      <c r="K4178" s="125"/>
      <c r="L4178" s="121"/>
      <c r="M4178" s="126"/>
      <c r="N4178" s="121"/>
    </row>
    <row r="4179" spans="1:14" x14ac:dyDescent="0.25">
      <c r="A4179" s="121" t="s">
        <v>81</v>
      </c>
      <c r="B4179" s="121" t="s">
        <v>163</v>
      </c>
      <c r="C4179" s="62">
        <f>VLOOKUP(B4179,合并仓明细!$D$2:$F$74,3,0)</f>
        <v>115</v>
      </c>
      <c r="D4179" s="122" t="s">
        <v>413</v>
      </c>
      <c r="E4179" s="123">
        <v>45945</v>
      </c>
      <c r="F4179" s="121" t="s">
        <v>66</v>
      </c>
      <c r="G4179" s="121">
        <v>1880.3300000000002</v>
      </c>
      <c r="H4179" s="124">
        <v>1.8803300000000001</v>
      </c>
      <c r="I4179" s="125"/>
      <c r="J4179" s="125"/>
      <c r="K4179" s="125"/>
      <c r="L4179" s="37">
        <f>IF(H4179&gt;30,QUOTIENT(H4179,30)*VLOOKUP(D4179,'报价表-配送'!$B$32:$I$37,8,0),0)+IF(AND(MOD(H4179,30)&gt;18,MOD(H4179,30)&lt;=30),1,0)*VLOOKUP(D4179,'报价表-配送'!$B$32:$I$37,8,0)+IF(AND(MOD(H4179,30)&gt;8,MOD(H4179,30)&lt;=18),1*VLOOKUP(D4179,'报价表-配送'!$B$32:$I$37,7,0),0)+IF(AND(MOD(H4179,30)&lt;=8,MOD(H4179,30)&gt;2.5),1,0)*VLOOKUP(D4179,'报价表-配送'!$B$32:$I$37,6,0)+IF(AND(MOD(H4179,30)&lt;=2.5,MOD(H4179,30)&gt;=1.5),1,0)*VLOOKUP(D4179,'报价表-配送'!$B$32:$I$37,5,0)</f>
        <v>0</v>
      </c>
      <c r="M4179" s="39">
        <f>IF(AND(MOD(H4179,30)&lt;1.5,MOD(H4179,30)&gt;=0.5),H4179,0)*VLOOKUP(D4179,'报价表-配送'!$B$32:$I$37,4,0)*1000+IF(AND(MOD(H4179,30)&lt;0.5,MOD(H4179,30)&gt;=0.02),H4179,0)*VLOOKUP(D4179,'报价表-配送'!$B$32:$I$37,3,0)*1000+IF(AND(MOD(H4179,30)&lt;0.02),H4179,0)*VLOOKUP(D4179,'报价表-配送'!$B$32:$I$37,2,0)*1000</f>
        <v>0</v>
      </c>
      <c r="N4179" s="127">
        <f t="shared" ref="N4179:N4182" si="462">SUM(I4179:L4179)</f>
        <v>0</v>
      </c>
    </row>
    <row r="4180" spans="1:14" x14ac:dyDescent="0.25">
      <c r="A4180" s="121" t="s">
        <v>81</v>
      </c>
      <c r="B4180" s="121" t="s">
        <v>163</v>
      </c>
      <c r="C4180" s="62">
        <f>VLOOKUP(B4180,合并仓明细!$D$2:$F$74,3,0)</f>
        <v>115</v>
      </c>
      <c r="D4180" s="122" t="s">
        <v>413</v>
      </c>
      <c r="E4180" s="123">
        <v>45947</v>
      </c>
      <c r="F4180" s="121" t="s">
        <v>67</v>
      </c>
      <c r="G4180" s="121">
        <v>1187.74</v>
      </c>
      <c r="H4180" s="124">
        <v>1.18774</v>
      </c>
      <c r="I4180" s="38">
        <f>IF(H4180&gt;30,QUOTIENT(H4180,30)*VLOOKUP(D4180,'报价表-配送'!$B$32:$I$37,8,0),0)+IF(AND(MOD(H4180,30)&gt;18,MOD(H4180,30)&lt;=30),1,0)*VLOOKUP(D4180,'报价表-配送'!$B$32:$I$37,8,0)</f>
        <v>0</v>
      </c>
      <c r="J4180" s="38">
        <f>IF(AND(MOD(H4180,30)&gt;8,MOD(H4180,30)&lt;=18),1*VLOOKUP(D4180,'报价表-配送'!$B$32:$I$37,7,0),0)</f>
        <v>0</v>
      </c>
      <c r="K4180" s="38">
        <f>IF(AND(MOD(H4180,30)&lt;=8,MOD(H4180,30)&gt;0),1,0)*VLOOKUP(D4180,'报价表-配送'!$B$32:$I$37,6,0)</f>
        <v>0</v>
      </c>
      <c r="L4180" s="121"/>
      <c r="M4180" s="126"/>
      <c r="N4180" s="127">
        <f t="shared" si="462"/>
        <v>0</v>
      </c>
    </row>
    <row r="4181" spans="1:14" x14ac:dyDescent="0.25">
      <c r="A4181" s="121" t="s">
        <v>81</v>
      </c>
      <c r="B4181" s="121" t="s">
        <v>163</v>
      </c>
      <c r="C4181" s="62">
        <f>VLOOKUP(B4181,合并仓明细!$D$2:$F$74,3,0)</f>
        <v>115</v>
      </c>
      <c r="D4181" s="122" t="s">
        <v>413</v>
      </c>
      <c r="E4181" s="123">
        <v>45950</v>
      </c>
      <c r="F4181" s="121" t="s">
        <v>66</v>
      </c>
      <c r="G4181" s="121">
        <v>251.10000000000002</v>
      </c>
      <c r="H4181" s="124">
        <v>0.25110000000000005</v>
      </c>
      <c r="I4181" s="125"/>
      <c r="J4181" s="125"/>
      <c r="K4181" s="125"/>
      <c r="L4181" s="37">
        <f>IF(H4181&gt;30,QUOTIENT(H4181,30)*VLOOKUP(D4181,'报价表-配送'!$B$32:$I$37,8,0),0)+IF(AND(MOD(H4181,30)&gt;18,MOD(H4181,30)&lt;=30),1,0)*VLOOKUP(D4181,'报价表-配送'!$B$32:$I$37,8,0)+IF(AND(MOD(H4181,30)&gt;8,MOD(H4181,30)&lt;=18),1*VLOOKUP(D4181,'报价表-配送'!$B$32:$I$37,7,0),0)+IF(AND(MOD(H4181,30)&lt;=8,MOD(H4181,30)&gt;2.5),1,0)*VLOOKUP(D4181,'报价表-配送'!$B$32:$I$37,6,0)+IF(AND(MOD(H4181,30)&lt;=2.5,MOD(H4181,30)&gt;=1.5),1,0)*VLOOKUP(D4181,'报价表-配送'!$B$32:$I$37,5,0)</f>
        <v>0</v>
      </c>
      <c r="M4181" s="39">
        <f>IF(AND(MOD(H4181,30)&lt;1.5,MOD(H4181,30)&gt;=0.5),H4181,0)*VLOOKUP(D4181,'报价表-配送'!$B$32:$I$37,4,0)*1000+IF(AND(MOD(H4181,30)&lt;0.5,MOD(H4181,30)&gt;=0.02),H4181,0)*VLOOKUP(D4181,'报价表-配送'!$B$32:$I$37,3,0)*1000+IF(AND(MOD(H4181,30)&lt;0.02),H4181,0)*VLOOKUP(D4181,'报价表-配送'!$B$32:$I$37,2,0)*1000</f>
        <v>0</v>
      </c>
      <c r="N4181" s="127">
        <f t="shared" si="462"/>
        <v>0</v>
      </c>
    </row>
    <row r="4182" spans="1:14" x14ac:dyDescent="0.25">
      <c r="A4182" s="121" t="s">
        <v>81</v>
      </c>
      <c r="B4182" s="121" t="s">
        <v>163</v>
      </c>
      <c r="C4182" s="62">
        <f>VLOOKUP(B4182,合并仓明细!$D$2:$F$74,3,0)</f>
        <v>115</v>
      </c>
      <c r="D4182" s="122" t="s">
        <v>413</v>
      </c>
      <c r="E4182" s="123">
        <v>45951</v>
      </c>
      <c r="F4182" s="121" t="s">
        <v>68</v>
      </c>
      <c r="G4182" s="121">
        <v>25.82</v>
      </c>
      <c r="H4182" s="124">
        <v>1.8539100000000002</v>
      </c>
      <c r="I4182" s="46">
        <f>ROUNDUP(H4182/30,0)*VLOOKUP(D4182,'报价表-配送'!$B$32:$I$37,8,0)</f>
        <v>0</v>
      </c>
      <c r="J4182" s="125"/>
      <c r="K4182" s="125"/>
      <c r="L4182" s="121"/>
      <c r="M4182" s="126"/>
      <c r="N4182" s="127">
        <f t="shared" si="462"/>
        <v>0</v>
      </c>
    </row>
    <row r="4183" spans="1:14" x14ac:dyDescent="0.25">
      <c r="A4183" s="121" t="s">
        <v>81</v>
      </c>
      <c r="B4183" s="121" t="s">
        <v>163</v>
      </c>
      <c r="C4183" s="62">
        <f>VLOOKUP(B4183,合并仓明细!$D$2:$F$74,3,0)</f>
        <v>115</v>
      </c>
      <c r="D4183" s="122" t="s">
        <v>413</v>
      </c>
      <c r="E4183" s="123">
        <v>45951</v>
      </c>
      <c r="F4183" s="121" t="s">
        <v>67</v>
      </c>
      <c r="G4183" s="121">
        <v>1353.64</v>
      </c>
      <c r="H4183" s="124"/>
      <c r="I4183" s="125"/>
      <c r="J4183" s="125"/>
      <c r="K4183" s="125"/>
      <c r="L4183" s="121"/>
      <c r="M4183" s="126"/>
      <c r="N4183" s="121"/>
    </row>
    <row r="4184" spans="1:14" x14ac:dyDescent="0.25">
      <c r="A4184" s="121" t="s">
        <v>81</v>
      </c>
      <c r="B4184" s="121" t="s">
        <v>163</v>
      </c>
      <c r="C4184" s="62">
        <f>VLOOKUP(B4184,合并仓明细!$D$2:$F$74,3,0)</f>
        <v>115</v>
      </c>
      <c r="D4184" s="122" t="s">
        <v>413</v>
      </c>
      <c r="E4184" s="123">
        <v>45951</v>
      </c>
      <c r="F4184" s="121" t="s">
        <v>66</v>
      </c>
      <c r="G4184" s="121">
        <v>474.45</v>
      </c>
      <c r="H4184" s="124"/>
      <c r="I4184" s="125"/>
      <c r="J4184" s="125"/>
      <c r="K4184" s="125"/>
      <c r="L4184" s="121"/>
      <c r="M4184" s="126"/>
      <c r="N4184" s="121"/>
    </row>
    <row r="4185" spans="1:14" x14ac:dyDescent="0.25">
      <c r="A4185" s="121" t="s">
        <v>81</v>
      </c>
      <c r="B4185" s="121" t="s">
        <v>163</v>
      </c>
      <c r="C4185" s="62">
        <f>VLOOKUP(B4185,合并仓明细!$D$2:$F$74,3,0)</f>
        <v>115</v>
      </c>
      <c r="D4185" s="122" t="s">
        <v>413</v>
      </c>
      <c r="E4185" s="123">
        <v>45952</v>
      </c>
      <c r="F4185" s="121" t="s">
        <v>67</v>
      </c>
      <c r="G4185" s="121">
        <v>90.12</v>
      </c>
      <c r="H4185" s="124">
        <v>0.67903000000000002</v>
      </c>
      <c r="I4185" s="38">
        <f>IF(H4185&gt;30,QUOTIENT(H4185,30)*VLOOKUP(D4185,'报价表-配送'!$B$32:$I$37,8,0),0)+IF(AND(MOD(H4185,30)&gt;18,MOD(H4185,30)&lt;=30),1,0)*VLOOKUP(D4185,'报价表-配送'!$B$32:$I$37,8,0)</f>
        <v>0</v>
      </c>
      <c r="J4185" s="38">
        <f>IF(AND(MOD(H4185,30)&gt;8,MOD(H4185,30)&lt;=18),1*VLOOKUP(D4185,'报价表-配送'!$B$32:$I$37,7,0),0)</f>
        <v>0</v>
      </c>
      <c r="K4185" s="38">
        <f>IF(AND(MOD(H4185,30)&lt;=8,MOD(H4185,30)&gt;0),1,0)*VLOOKUP(D4185,'报价表-配送'!$B$32:$I$37,6,0)</f>
        <v>0</v>
      </c>
      <c r="L4185" s="121"/>
      <c r="M4185" s="126"/>
      <c r="N4185" s="127">
        <f t="shared" ref="N4185" si="463">SUM(I4185:L4185)</f>
        <v>0</v>
      </c>
    </row>
    <row r="4186" spans="1:14" x14ac:dyDescent="0.25">
      <c r="A4186" s="121" t="s">
        <v>81</v>
      </c>
      <c r="B4186" s="121" t="s">
        <v>163</v>
      </c>
      <c r="C4186" s="62">
        <f>VLOOKUP(B4186,合并仓明细!$D$2:$F$74,3,0)</f>
        <v>115</v>
      </c>
      <c r="D4186" s="122" t="s">
        <v>413</v>
      </c>
      <c r="E4186" s="123">
        <v>45952</v>
      </c>
      <c r="F4186" s="121" t="s">
        <v>66</v>
      </c>
      <c r="G4186" s="121">
        <v>588.91</v>
      </c>
      <c r="H4186" s="124"/>
      <c r="I4186" s="125"/>
      <c r="J4186" s="125"/>
      <c r="K4186" s="125"/>
      <c r="L4186" s="121"/>
      <c r="M4186" s="126"/>
      <c r="N4186" s="121"/>
    </row>
    <row r="4187" spans="1:14" x14ac:dyDescent="0.25">
      <c r="A4187" s="121" t="s">
        <v>81</v>
      </c>
      <c r="B4187" s="121" t="s">
        <v>163</v>
      </c>
      <c r="C4187" s="62">
        <f>VLOOKUP(B4187,合并仓明细!$D$2:$F$74,3,0)</f>
        <v>115</v>
      </c>
      <c r="D4187" s="122" t="s">
        <v>413</v>
      </c>
      <c r="E4187" s="123">
        <v>45953</v>
      </c>
      <c r="F4187" s="121" t="s">
        <v>67</v>
      </c>
      <c r="G4187" s="121">
        <v>1673.33</v>
      </c>
      <c r="H4187" s="124">
        <v>2.5384399999999996</v>
      </c>
      <c r="I4187" s="38">
        <f>IF(H4187&gt;30,QUOTIENT(H4187,30)*VLOOKUP(D4187,'报价表-配送'!$B$32:$I$37,8,0),0)+IF(AND(MOD(H4187,30)&gt;18,MOD(H4187,30)&lt;=30),1,0)*VLOOKUP(D4187,'报价表-配送'!$B$32:$I$37,8,0)</f>
        <v>0</v>
      </c>
      <c r="J4187" s="38">
        <f>IF(AND(MOD(H4187,30)&gt;8,MOD(H4187,30)&lt;=18),1*VLOOKUP(D4187,'报价表-配送'!$B$32:$I$37,7,0),0)</f>
        <v>0</v>
      </c>
      <c r="K4187" s="38">
        <f>IF(AND(MOD(H4187,30)&lt;=8,MOD(H4187,30)&gt;0),1,0)*VLOOKUP(D4187,'报价表-配送'!$B$32:$I$37,6,0)</f>
        <v>0</v>
      </c>
      <c r="L4187" s="121"/>
      <c r="M4187" s="126"/>
      <c r="N4187" s="127">
        <f t="shared" ref="N4187" si="464">SUM(I4187:L4187)</f>
        <v>0</v>
      </c>
    </row>
    <row r="4188" spans="1:14" x14ac:dyDescent="0.25">
      <c r="A4188" s="121" t="s">
        <v>81</v>
      </c>
      <c r="B4188" s="121" t="s">
        <v>163</v>
      </c>
      <c r="C4188" s="62">
        <f>VLOOKUP(B4188,合并仓明细!$D$2:$F$74,3,0)</f>
        <v>115</v>
      </c>
      <c r="D4188" s="122" t="s">
        <v>413</v>
      </c>
      <c r="E4188" s="123">
        <v>45953</v>
      </c>
      <c r="F4188" s="121" t="s">
        <v>66</v>
      </c>
      <c r="G4188" s="121">
        <v>865.1099999999999</v>
      </c>
      <c r="H4188" s="124"/>
      <c r="I4188" s="125"/>
      <c r="J4188" s="125"/>
      <c r="K4188" s="125"/>
      <c r="L4188" s="121"/>
      <c r="M4188" s="126"/>
      <c r="N4188" s="121"/>
    </row>
    <row r="4189" spans="1:14" x14ac:dyDescent="0.25">
      <c r="A4189" s="121" t="s">
        <v>81</v>
      </c>
      <c r="B4189" s="121" t="s">
        <v>163</v>
      </c>
      <c r="C4189" s="62">
        <f>VLOOKUP(B4189,合并仓明细!$D$2:$F$74,3,0)</f>
        <v>115</v>
      </c>
      <c r="D4189" s="122" t="s">
        <v>413</v>
      </c>
      <c r="E4189" s="123">
        <v>45954</v>
      </c>
      <c r="F4189" s="121" t="s">
        <v>67</v>
      </c>
      <c r="G4189" s="121">
        <v>21.98</v>
      </c>
      <c r="H4189" s="124">
        <v>4.6579999999999996E-2</v>
      </c>
      <c r="I4189" s="38">
        <f>IF(H4189&gt;30,QUOTIENT(H4189,30)*VLOOKUP(D4189,'报价表-配送'!$B$32:$I$37,8,0),0)+IF(AND(MOD(H4189,30)&gt;18,MOD(H4189,30)&lt;=30),1,0)*VLOOKUP(D4189,'报价表-配送'!$B$32:$I$37,8,0)</f>
        <v>0</v>
      </c>
      <c r="J4189" s="38">
        <f>IF(AND(MOD(H4189,30)&gt;8,MOD(H4189,30)&lt;=18),1*VLOOKUP(D4189,'报价表-配送'!$B$32:$I$37,7,0),0)</f>
        <v>0</v>
      </c>
      <c r="K4189" s="38">
        <f>IF(AND(MOD(H4189,30)&lt;=8,MOD(H4189,30)&gt;0),1,0)*VLOOKUP(D4189,'报价表-配送'!$B$32:$I$37,6,0)</f>
        <v>0</v>
      </c>
      <c r="L4189" s="121"/>
      <c r="M4189" s="126"/>
      <c r="N4189" s="127">
        <f t="shared" ref="N4189" si="465">SUM(I4189:L4189)</f>
        <v>0</v>
      </c>
    </row>
    <row r="4190" spans="1:14" x14ac:dyDescent="0.25">
      <c r="A4190" s="121" t="s">
        <v>81</v>
      </c>
      <c r="B4190" s="121" t="s">
        <v>163</v>
      </c>
      <c r="C4190" s="62">
        <f>VLOOKUP(B4190,合并仓明细!$D$2:$F$74,3,0)</f>
        <v>115</v>
      </c>
      <c r="D4190" s="122" t="s">
        <v>413</v>
      </c>
      <c r="E4190" s="123">
        <v>45954</v>
      </c>
      <c r="F4190" s="121" t="s">
        <v>66</v>
      </c>
      <c r="G4190" s="121">
        <v>24.6</v>
      </c>
      <c r="H4190" s="124"/>
      <c r="I4190" s="125"/>
      <c r="J4190" s="125"/>
      <c r="K4190" s="125"/>
      <c r="L4190" s="121"/>
      <c r="M4190" s="126"/>
      <c r="N4190" s="121"/>
    </row>
    <row r="4191" spans="1:14" x14ac:dyDescent="0.25">
      <c r="A4191" s="121" t="s">
        <v>81</v>
      </c>
      <c r="B4191" s="121" t="s">
        <v>163</v>
      </c>
      <c r="C4191" s="62">
        <f>VLOOKUP(B4191,合并仓明细!$D$2:$F$74,3,0)</f>
        <v>115</v>
      </c>
      <c r="D4191" s="122" t="s">
        <v>413</v>
      </c>
      <c r="E4191" s="123">
        <v>45957</v>
      </c>
      <c r="F4191" s="121" t="s">
        <v>67</v>
      </c>
      <c r="G4191" s="121">
        <v>188.23</v>
      </c>
      <c r="H4191" s="124">
        <v>4.5527599999999993</v>
      </c>
      <c r="I4191" s="38">
        <f>IF(H4191&gt;30,QUOTIENT(H4191,30)*VLOOKUP(D4191,'报价表-配送'!$B$32:$I$37,8,0),0)+IF(AND(MOD(H4191,30)&gt;18,MOD(H4191,30)&lt;=30),1,0)*VLOOKUP(D4191,'报价表-配送'!$B$32:$I$37,8,0)</f>
        <v>0</v>
      </c>
      <c r="J4191" s="38">
        <f>IF(AND(MOD(H4191,30)&gt;8,MOD(H4191,30)&lt;=18),1*VLOOKUP(D4191,'报价表-配送'!$B$32:$I$37,7,0),0)</f>
        <v>0</v>
      </c>
      <c r="K4191" s="38">
        <f>IF(AND(MOD(H4191,30)&lt;=8,MOD(H4191,30)&gt;0),1,0)*VLOOKUP(D4191,'报价表-配送'!$B$32:$I$37,6,0)</f>
        <v>0</v>
      </c>
      <c r="L4191" s="121"/>
      <c r="M4191" s="126"/>
      <c r="N4191" s="127">
        <f t="shared" ref="N4191" si="466">SUM(I4191:L4191)</f>
        <v>0</v>
      </c>
    </row>
    <row r="4192" spans="1:14" x14ac:dyDescent="0.25">
      <c r="A4192" s="121" t="s">
        <v>81</v>
      </c>
      <c r="B4192" s="121" t="s">
        <v>163</v>
      </c>
      <c r="C4192" s="62">
        <f>VLOOKUP(B4192,合并仓明细!$D$2:$F$74,3,0)</f>
        <v>115</v>
      </c>
      <c r="D4192" s="122" t="s">
        <v>413</v>
      </c>
      <c r="E4192" s="123">
        <v>45957</v>
      </c>
      <c r="F4192" s="121" t="s">
        <v>66</v>
      </c>
      <c r="G4192" s="121">
        <v>4364.53</v>
      </c>
      <c r="H4192" s="124"/>
      <c r="I4192" s="125"/>
      <c r="J4192" s="125"/>
      <c r="K4192" s="125"/>
      <c r="L4192" s="121"/>
      <c r="M4192" s="126"/>
      <c r="N4192" s="121"/>
    </row>
    <row r="4193" spans="1:14" x14ac:dyDescent="0.25">
      <c r="A4193" s="121" t="s">
        <v>81</v>
      </c>
      <c r="B4193" s="121" t="s">
        <v>163</v>
      </c>
      <c r="C4193" s="62">
        <f>VLOOKUP(B4193,合并仓明细!$D$2:$F$74,3,0)</f>
        <v>115</v>
      </c>
      <c r="D4193" s="122" t="s">
        <v>413</v>
      </c>
      <c r="E4193" s="123">
        <v>45958</v>
      </c>
      <c r="F4193" s="121" t="s">
        <v>67</v>
      </c>
      <c r="G4193" s="121">
        <v>562.54</v>
      </c>
      <c r="H4193" s="124">
        <v>0.97383999999999993</v>
      </c>
      <c r="I4193" s="38">
        <f>IF(H4193&gt;30,QUOTIENT(H4193,30)*VLOOKUP(D4193,'报价表-配送'!$B$32:$I$37,8,0),0)+IF(AND(MOD(H4193,30)&gt;18,MOD(H4193,30)&lt;=30),1,0)*VLOOKUP(D4193,'报价表-配送'!$B$32:$I$37,8,0)</f>
        <v>0</v>
      </c>
      <c r="J4193" s="38">
        <f>IF(AND(MOD(H4193,30)&gt;8,MOD(H4193,30)&lt;=18),1*VLOOKUP(D4193,'报价表-配送'!$B$32:$I$37,7,0),0)</f>
        <v>0</v>
      </c>
      <c r="K4193" s="38">
        <f>IF(AND(MOD(H4193,30)&lt;=8,MOD(H4193,30)&gt;0),1,0)*VLOOKUP(D4193,'报价表-配送'!$B$32:$I$37,6,0)</f>
        <v>0</v>
      </c>
      <c r="L4193" s="121"/>
      <c r="M4193" s="126"/>
      <c r="N4193" s="127">
        <f t="shared" ref="N4193" si="467">SUM(I4193:L4193)</f>
        <v>0</v>
      </c>
    </row>
    <row r="4194" spans="1:14" x14ac:dyDescent="0.25">
      <c r="A4194" s="121" t="s">
        <v>81</v>
      </c>
      <c r="B4194" s="121" t="s">
        <v>163</v>
      </c>
      <c r="C4194" s="62">
        <f>VLOOKUP(B4194,合并仓明细!$D$2:$F$74,3,0)</f>
        <v>115</v>
      </c>
      <c r="D4194" s="122" t="s">
        <v>413</v>
      </c>
      <c r="E4194" s="123">
        <v>45958</v>
      </c>
      <c r="F4194" s="121" t="s">
        <v>66</v>
      </c>
      <c r="G4194" s="121">
        <v>411.3</v>
      </c>
      <c r="H4194" s="124"/>
      <c r="I4194" s="125"/>
      <c r="J4194" s="125"/>
      <c r="K4194" s="125"/>
      <c r="L4194" s="121"/>
      <c r="M4194" s="126"/>
      <c r="N4194" s="121"/>
    </row>
    <row r="4195" spans="1:14" x14ac:dyDescent="0.25">
      <c r="A4195" s="121" t="s">
        <v>81</v>
      </c>
      <c r="B4195" s="121" t="s">
        <v>163</v>
      </c>
      <c r="C4195" s="62">
        <f>VLOOKUP(B4195,合并仓明细!$D$2:$F$74,3,0)</f>
        <v>115</v>
      </c>
      <c r="D4195" s="122" t="s">
        <v>413</v>
      </c>
      <c r="E4195" s="123">
        <v>45966</v>
      </c>
      <c r="F4195" s="121" t="s">
        <v>67</v>
      </c>
      <c r="G4195" s="121">
        <v>422.28</v>
      </c>
      <c r="H4195" s="124">
        <v>0.45326</v>
      </c>
      <c r="I4195" s="38">
        <f>IF(H4195&gt;30,QUOTIENT(H4195,30)*VLOOKUP(D4195,'报价表-配送'!$B$32:$I$37,8,0),0)+IF(AND(MOD(H4195,30)&gt;18,MOD(H4195,30)&lt;=30),1,0)*VLOOKUP(D4195,'报价表-配送'!$B$32:$I$37,8,0)</f>
        <v>0</v>
      </c>
      <c r="J4195" s="38">
        <f>IF(AND(MOD(H4195,30)&gt;8,MOD(H4195,30)&lt;=18),1*VLOOKUP(D4195,'报价表-配送'!$B$32:$I$37,7,0),0)</f>
        <v>0</v>
      </c>
      <c r="K4195" s="38">
        <f>IF(AND(MOD(H4195,30)&lt;=8,MOD(H4195,30)&gt;0),1,0)*VLOOKUP(D4195,'报价表-配送'!$B$32:$I$37,6,0)</f>
        <v>0</v>
      </c>
      <c r="L4195" s="121"/>
      <c r="M4195" s="126"/>
      <c r="N4195" s="127">
        <f t="shared" ref="N4195" si="468">SUM(I4195:L4195)</f>
        <v>0</v>
      </c>
    </row>
    <row r="4196" spans="1:14" x14ac:dyDescent="0.25">
      <c r="A4196" s="121" t="s">
        <v>81</v>
      </c>
      <c r="B4196" s="121" t="s">
        <v>163</v>
      </c>
      <c r="C4196" s="62">
        <f>VLOOKUP(B4196,合并仓明细!$D$2:$F$74,3,0)</f>
        <v>115</v>
      </c>
      <c r="D4196" s="122" t="s">
        <v>413</v>
      </c>
      <c r="E4196" s="123">
        <v>45966</v>
      </c>
      <c r="F4196" s="121" t="s">
        <v>66</v>
      </c>
      <c r="G4196" s="121">
        <v>30.980000000000004</v>
      </c>
      <c r="H4196" s="124"/>
      <c r="I4196" s="125"/>
      <c r="J4196" s="125"/>
      <c r="K4196" s="125"/>
      <c r="L4196" s="121"/>
      <c r="M4196" s="126"/>
      <c r="N4196" s="121"/>
    </row>
    <row r="4197" spans="1:14" x14ac:dyDescent="0.25">
      <c r="A4197" s="121" t="s">
        <v>81</v>
      </c>
      <c r="B4197" s="121" t="s">
        <v>163</v>
      </c>
      <c r="C4197" s="62">
        <f>VLOOKUP(B4197,合并仓明细!$D$2:$F$74,3,0)</f>
        <v>115</v>
      </c>
      <c r="D4197" s="122" t="s">
        <v>413</v>
      </c>
      <c r="E4197" s="123">
        <v>45974</v>
      </c>
      <c r="F4197" s="121" t="s">
        <v>67</v>
      </c>
      <c r="G4197" s="121">
        <v>11012.15</v>
      </c>
      <c r="H4197" s="124">
        <v>13.778849999999998</v>
      </c>
      <c r="I4197" s="38">
        <f>IF(H4197&gt;30,QUOTIENT(H4197,30)*VLOOKUP(D4197,'报价表-配送'!$B$32:$I$37,8,0),0)+IF(AND(MOD(H4197,30)&gt;18,MOD(H4197,30)&lt;=30),1,0)*VLOOKUP(D4197,'报价表-配送'!$B$32:$I$37,8,0)</f>
        <v>0</v>
      </c>
      <c r="J4197" s="38">
        <f>IF(AND(MOD(H4197,30)&gt;8,MOD(H4197,30)&lt;=18),1*VLOOKUP(D4197,'报价表-配送'!$B$32:$I$37,7,0),0)</f>
        <v>0</v>
      </c>
      <c r="K4197" s="38">
        <f>IF(AND(MOD(H4197,30)&lt;=8,MOD(H4197,30)&gt;0),1,0)*VLOOKUP(D4197,'报价表-配送'!$B$32:$I$37,6,0)</f>
        <v>0</v>
      </c>
      <c r="L4197" s="121"/>
      <c r="M4197" s="126"/>
      <c r="N4197" s="127">
        <f t="shared" ref="N4197" si="469">SUM(I4197:L4197)</f>
        <v>0</v>
      </c>
    </row>
    <row r="4198" spans="1:14" x14ac:dyDescent="0.25">
      <c r="A4198" s="121" t="s">
        <v>81</v>
      </c>
      <c r="B4198" s="121" t="s">
        <v>163</v>
      </c>
      <c r="C4198" s="62">
        <f>VLOOKUP(B4198,合并仓明细!$D$2:$F$74,3,0)</f>
        <v>115</v>
      </c>
      <c r="D4198" s="122" t="s">
        <v>413</v>
      </c>
      <c r="E4198" s="123">
        <v>45974</v>
      </c>
      <c r="F4198" s="121" t="s">
        <v>66</v>
      </c>
      <c r="G4198" s="121">
        <v>2766.7</v>
      </c>
      <c r="H4198" s="124"/>
      <c r="I4198" s="125"/>
      <c r="J4198" s="125"/>
      <c r="K4198" s="125"/>
      <c r="L4198" s="121"/>
      <c r="M4198" s="126"/>
      <c r="N4198" s="121"/>
    </row>
    <row r="4199" spans="1:14" x14ac:dyDescent="0.25">
      <c r="A4199" s="121" t="s">
        <v>81</v>
      </c>
      <c r="B4199" s="121" t="s">
        <v>163</v>
      </c>
      <c r="C4199" s="62">
        <f>VLOOKUP(B4199,合并仓明细!$D$2:$F$74,3,0)</f>
        <v>115</v>
      </c>
      <c r="D4199" s="122" t="s">
        <v>413</v>
      </c>
      <c r="E4199" s="123">
        <v>45979</v>
      </c>
      <c r="F4199" s="121" t="s">
        <v>67</v>
      </c>
      <c r="G4199" s="121">
        <v>83.75</v>
      </c>
      <c r="H4199" s="124">
        <v>0.13617000000000001</v>
      </c>
      <c r="I4199" s="38">
        <f>IF(H4199&gt;30,QUOTIENT(H4199,30)*VLOOKUP(D4199,'报价表-配送'!$B$32:$I$37,8,0),0)+IF(AND(MOD(H4199,30)&gt;18,MOD(H4199,30)&lt;=30),1,0)*VLOOKUP(D4199,'报价表-配送'!$B$32:$I$37,8,0)</f>
        <v>0</v>
      </c>
      <c r="J4199" s="38">
        <f>IF(AND(MOD(H4199,30)&gt;8,MOD(H4199,30)&lt;=18),1*VLOOKUP(D4199,'报价表-配送'!$B$32:$I$37,7,0),0)</f>
        <v>0</v>
      </c>
      <c r="K4199" s="38">
        <f>IF(AND(MOD(H4199,30)&lt;=8,MOD(H4199,30)&gt;0),1,0)*VLOOKUP(D4199,'报价表-配送'!$B$32:$I$37,6,0)</f>
        <v>0</v>
      </c>
      <c r="L4199" s="121"/>
      <c r="M4199" s="126"/>
      <c r="N4199" s="127">
        <f t="shared" ref="N4199" si="470">SUM(I4199:L4199)</f>
        <v>0</v>
      </c>
    </row>
    <row r="4200" spans="1:14" x14ac:dyDescent="0.25">
      <c r="A4200" s="121" t="s">
        <v>81</v>
      </c>
      <c r="B4200" s="121" t="s">
        <v>163</v>
      </c>
      <c r="C4200" s="62">
        <f>VLOOKUP(B4200,合并仓明细!$D$2:$F$74,3,0)</f>
        <v>115</v>
      </c>
      <c r="D4200" s="122" t="s">
        <v>413</v>
      </c>
      <c r="E4200" s="123">
        <v>45979</v>
      </c>
      <c r="F4200" s="121" t="s">
        <v>66</v>
      </c>
      <c r="G4200" s="121">
        <v>52.42</v>
      </c>
      <c r="H4200" s="124"/>
      <c r="I4200" s="125"/>
      <c r="J4200" s="125"/>
      <c r="K4200" s="125"/>
      <c r="L4200" s="121"/>
      <c r="M4200" s="126"/>
      <c r="N4200" s="121"/>
    </row>
    <row r="4201" spans="1:14" x14ac:dyDescent="0.25">
      <c r="A4201" s="121" t="s">
        <v>81</v>
      </c>
      <c r="B4201" s="121" t="s">
        <v>163</v>
      </c>
      <c r="C4201" s="62">
        <f>VLOOKUP(B4201,合并仓明细!$D$2:$F$74,3,0)</f>
        <v>115</v>
      </c>
      <c r="D4201" s="122" t="s">
        <v>413</v>
      </c>
      <c r="E4201" s="123">
        <v>45980</v>
      </c>
      <c r="F4201" s="121" t="s">
        <v>67</v>
      </c>
      <c r="G4201" s="121">
        <v>560.67999999999995</v>
      </c>
      <c r="H4201" s="124">
        <v>1.0624899999999999</v>
      </c>
      <c r="I4201" s="38">
        <f>IF(H4201&gt;30,QUOTIENT(H4201,30)*VLOOKUP(D4201,'报价表-配送'!$B$32:$I$37,8,0),0)+IF(AND(MOD(H4201,30)&gt;18,MOD(H4201,30)&lt;=30),1,0)*VLOOKUP(D4201,'报价表-配送'!$B$32:$I$37,8,0)</f>
        <v>0</v>
      </c>
      <c r="J4201" s="38">
        <f>IF(AND(MOD(H4201,30)&gt;8,MOD(H4201,30)&lt;=18),1*VLOOKUP(D4201,'报价表-配送'!$B$32:$I$37,7,0),0)</f>
        <v>0</v>
      </c>
      <c r="K4201" s="38">
        <f>IF(AND(MOD(H4201,30)&lt;=8,MOD(H4201,30)&gt;0),1,0)*VLOOKUP(D4201,'报价表-配送'!$B$32:$I$37,6,0)</f>
        <v>0</v>
      </c>
      <c r="L4201" s="121"/>
      <c r="M4201" s="126"/>
      <c r="N4201" s="127">
        <f t="shared" ref="N4201" si="471">SUM(I4201:L4201)</f>
        <v>0</v>
      </c>
    </row>
    <row r="4202" spans="1:14" x14ac:dyDescent="0.25">
      <c r="A4202" s="121" t="s">
        <v>81</v>
      </c>
      <c r="B4202" s="121" t="s">
        <v>163</v>
      </c>
      <c r="C4202" s="62">
        <f>VLOOKUP(B4202,合并仓明细!$D$2:$F$74,3,0)</f>
        <v>115</v>
      </c>
      <c r="D4202" s="122" t="s">
        <v>413</v>
      </c>
      <c r="E4202" s="123">
        <v>45980</v>
      </c>
      <c r="F4202" s="121" t="s">
        <v>66</v>
      </c>
      <c r="G4202" s="121">
        <v>501.81</v>
      </c>
      <c r="H4202" s="124"/>
      <c r="I4202" s="125"/>
      <c r="J4202" s="125"/>
      <c r="K4202" s="125"/>
      <c r="L4202" s="121"/>
      <c r="M4202" s="126"/>
      <c r="N4202" s="121"/>
    </row>
    <row r="4203" spans="1:14" x14ac:dyDescent="0.25">
      <c r="A4203" s="121" t="s">
        <v>81</v>
      </c>
      <c r="B4203" s="121" t="s">
        <v>163</v>
      </c>
      <c r="C4203" s="62">
        <f>VLOOKUP(B4203,合并仓明细!$D$2:$F$74,3,0)</f>
        <v>115</v>
      </c>
      <c r="D4203" s="122" t="s">
        <v>413</v>
      </c>
      <c r="E4203" s="123">
        <v>45982</v>
      </c>
      <c r="F4203" s="121" t="s">
        <v>68</v>
      </c>
      <c r="G4203" s="121">
        <v>233.69</v>
      </c>
      <c r="H4203" s="124">
        <v>0.23369000000000001</v>
      </c>
      <c r="I4203" s="46">
        <f>ROUNDUP(H4203/30,0)*VLOOKUP(D4203,'报价表-配送'!$B$32:$I$37,8,0)</f>
        <v>0</v>
      </c>
      <c r="J4203" s="125"/>
      <c r="K4203" s="125"/>
      <c r="L4203" s="121"/>
      <c r="M4203" s="126"/>
      <c r="N4203" s="127">
        <f t="shared" ref="N4203:N4206" si="472">SUM(I4203:L4203)</f>
        <v>0</v>
      </c>
    </row>
    <row r="4204" spans="1:14" x14ac:dyDescent="0.25">
      <c r="A4204" s="121" t="s">
        <v>81</v>
      </c>
      <c r="B4204" s="121" t="s">
        <v>163</v>
      </c>
      <c r="C4204" s="62">
        <f>VLOOKUP(B4204,合并仓明细!$D$2:$F$74,3,0)</f>
        <v>115</v>
      </c>
      <c r="D4204" s="122" t="s">
        <v>413</v>
      </c>
      <c r="E4204" s="123">
        <v>45987</v>
      </c>
      <c r="F4204" s="121" t="s">
        <v>67</v>
      </c>
      <c r="G4204" s="121">
        <v>185.52</v>
      </c>
      <c r="H4204" s="124">
        <v>0.18552000000000002</v>
      </c>
      <c r="I4204" s="38">
        <f>IF(H4204&gt;30,QUOTIENT(H4204,30)*VLOOKUP(D4204,'报价表-配送'!$B$32:$I$37,8,0),0)+IF(AND(MOD(H4204,30)&gt;18,MOD(H4204,30)&lt;=30),1,0)*VLOOKUP(D4204,'报价表-配送'!$B$32:$I$37,8,0)</f>
        <v>0</v>
      </c>
      <c r="J4204" s="38">
        <f>IF(AND(MOD(H4204,30)&gt;8,MOD(H4204,30)&lt;=18),1*VLOOKUP(D4204,'报价表-配送'!$B$32:$I$37,7,0),0)</f>
        <v>0</v>
      </c>
      <c r="K4204" s="38">
        <f>IF(AND(MOD(H4204,30)&lt;=8,MOD(H4204,30)&gt;0),1,0)*VLOOKUP(D4204,'报价表-配送'!$B$32:$I$37,6,0)</f>
        <v>0</v>
      </c>
      <c r="L4204" s="121"/>
      <c r="M4204" s="126"/>
      <c r="N4204" s="127">
        <f t="shared" si="472"/>
        <v>0</v>
      </c>
    </row>
    <row r="4205" spans="1:14" x14ac:dyDescent="0.25">
      <c r="A4205" s="121" t="s">
        <v>81</v>
      </c>
      <c r="B4205" s="121" t="s">
        <v>163</v>
      </c>
      <c r="C4205" s="62">
        <f>VLOOKUP(B4205,合并仓明细!$D$2:$F$74,3,0)</f>
        <v>115</v>
      </c>
      <c r="D4205" s="122" t="s">
        <v>413</v>
      </c>
      <c r="E4205" s="123">
        <v>45989</v>
      </c>
      <c r="F4205" s="121" t="s">
        <v>66</v>
      </c>
      <c r="G4205" s="121">
        <v>82.2</v>
      </c>
      <c r="H4205" s="124">
        <v>8.2200000000000009E-2</v>
      </c>
      <c r="I4205" s="125"/>
      <c r="J4205" s="125"/>
      <c r="K4205" s="125"/>
      <c r="L4205" s="37">
        <f>IF(H4205&gt;30,QUOTIENT(H4205,30)*VLOOKUP(D4205,'报价表-配送'!$B$32:$I$37,8,0),0)+IF(AND(MOD(H4205,30)&gt;18,MOD(H4205,30)&lt;=30),1,0)*VLOOKUP(D4205,'报价表-配送'!$B$32:$I$37,8,0)+IF(AND(MOD(H4205,30)&gt;8,MOD(H4205,30)&lt;=18),1*VLOOKUP(D4205,'报价表-配送'!$B$32:$I$37,7,0),0)+IF(AND(MOD(H4205,30)&lt;=8,MOD(H4205,30)&gt;2.5),1,0)*VLOOKUP(D4205,'报价表-配送'!$B$32:$I$37,6,0)+IF(AND(MOD(H4205,30)&lt;=2.5,MOD(H4205,30)&gt;=1.5),1,0)*VLOOKUP(D4205,'报价表-配送'!$B$32:$I$37,5,0)</f>
        <v>0</v>
      </c>
      <c r="M4205" s="39">
        <f>IF(AND(MOD(H4205,30)&lt;1.5,MOD(H4205,30)&gt;=0.5),H4205,0)*VLOOKUP(D4205,'报价表-配送'!$B$32:$I$37,4,0)*1000+IF(AND(MOD(H4205,30)&lt;0.5,MOD(H4205,30)&gt;=0.02),H4205,0)*VLOOKUP(D4205,'报价表-配送'!$B$32:$I$37,3,0)*1000+IF(AND(MOD(H4205,30)&lt;0.02),H4205,0)*VLOOKUP(D4205,'报价表-配送'!$B$32:$I$37,2,0)*1000</f>
        <v>0</v>
      </c>
      <c r="N4205" s="127">
        <f t="shared" si="472"/>
        <v>0</v>
      </c>
    </row>
    <row r="4206" spans="1:14" x14ac:dyDescent="0.25">
      <c r="A4206" s="121" t="s">
        <v>81</v>
      </c>
      <c r="B4206" s="121" t="s">
        <v>163</v>
      </c>
      <c r="C4206" s="62">
        <f>VLOOKUP(B4206,合并仓明细!$D$2:$F$74,3,0)</f>
        <v>115</v>
      </c>
      <c r="D4206" s="122" t="s">
        <v>413</v>
      </c>
      <c r="E4206" s="123">
        <v>45995</v>
      </c>
      <c r="F4206" s="121" t="s">
        <v>67</v>
      </c>
      <c r="G4206" s="121">
        <v>1110.03</v>
      </c>
      <c r="H4206" s="124">
        <v>2.1681500000000002</v>
      </c>
      <c r="I4206" s="38">
        <f>IF(H4206&gt;30,QUOTIENT(H4206,30)*VLOOKUP(D4206,'报价表-配送'!$B$32:$I$37,8,0),0)+IF(AND(MOD(H4206,30)&gt;18,MOD(H4206,30)&lt;=30),1,0)*VLOOKUP(D4206,'报价表-配送'!$B$32:$I$37,8,0)</f>
        <v>0</v>
      </c>
      <c r="J4206" s="38">
        <f>IF(AND(MOD(H4206,30)&gt;8,MOD(H4206,30)&lt;=18),1*VLOOKUP(D4206,'报价表-配送'!$B$32:$I$37,7,0),0)</f>
        <v>0</v>
      </c>
      <c r="K4206" s="38">
        <f>IF(AND(MOD(H4206,30)&lt;=8,MOD(H4206,30)&gt;0),1,0)*VLOOKUP(D4206,'报价表-配送'!$B$32:$I$37,6,0)</f>
        <v>0</v>
      </c>
      <c r="L4206" s="121"/>
      <c r="M4206" s="126"/>
      <c r="N4206" s="127">
        <f t="shared" si="472"/>
        <v>0</v>
      </c>
    </row>
    <row r="4207" spans="1:14" x14ac:dyDescent="0.25">
      <c r="A4207" s="121" t="s">
        <v>81</v>
      </c>
      <c r="B4207" s="121" t="s">
        <v>163</v>
      </c>
      <c r="C4207" s="62">
        <f>VLOOKUP(B4207,合并仓明细!$D$2:$F$74,3,0)</f>
        <v>115</v>
      </c>
      <c r="D4207" s="122" t="s">
        <v>413</v>
      </c>
      <c r="E4207" s="123">
        <v>45995</v>
      </c>
      <c r="F4207" s="121" t="s">
        <v>66</v>
      </c>
      <c r="G4207" s="121">
        <v>1058.1200000000001</v>
      </c>
      <c r="H4207" s="124"/>
      <c r="I4207" s="125"/>
      <c r="J4207" s="125"/>
      <c r="K4207" s="125"/>
      <c r="L4207" s="121"/>
      <c r="M4207" s="126"/>
      <c r="N4207" s="121"/>
    </row>
    <row r="4208" spans="1:14" x14ac:dyDescent="0.25">
      <c r="A4208" s="121" t="s">
        <v>81</v>
      </c>
      <c r="B4208" s="121" t="s">
        <v>163</v>
      </c>
      <c r="C4208" s="62">
        <f>VLOOKUP(B4208,合并仓明细!$D$2:$F$74,3,0)</f>
        <v>115</v>
      </c>
      <c r="D4208" s="122" t="s">
        <v>413</v>
      </c>
      <c r="E4208" s="123">
        <v>45996</v>
      </c>
      <c r="F4208" s="121" t="s">
        <v>67</v>
      </c>
      <c r="G4208" s="121">
        <v>2978.13</v>
      </c>
      <c r="H4208" s="124">
        <v>3.5483900000000004</v>
      </c>
      <c r="I4208" s="38">
        <f>IF(H4208&gt;30,QUOTIENT(H4208,30)*VLOOKUP(D4208,'报价表-配送'!$B$32:$I$37,8,0),0)+IF(AND(MOD(H4208,30)&gt;18,MOD(H4208,30)&lt;=30),1,0)*VLOOKUP(D4208,'报价表-配送'!$B$32:$I$37,8,0)</f>
        <v>0</v>
      </c>
      <c r="J4208" s="38">
        <f>IF(AND(MOD(H4208,30)&gt;8,MOD(H4208,30)&lt;=18),1*VLOOKUP(D4208,'报价表-配送'!$B$32:$I$37,7,0),0)</f>
        <v>0</v>
      </c>
      <c r="K4208" s="38">
        <f>IF(AND(MOD(H4208,30)&lt;=8,MOD(H4208,30)&gt;0),1,0)*VLOOKUP(D4208,'报价表-配送'!$B$32:$I$37,6,0)</f>
        <v>0</v>
      </c>
      <c r="L4208" s="121"/>
      <c r="M4208" s="126"/>
      <c r="N4208" s="127">
        <f t="shared" ref="N4208" si="473">SUM(I4208:L4208)</f>
        <v>0</v>
      </c>
    </row>
    <row r="4209" spans="1:14" x14ac:dyDescent="0.25">
      <c r="A4209" s="121" t="s">
        <v>81</v>
      </c>
      <c r="B4209" s="121" t="s">
        <v>163</v>
      </c>
      <c r="C4209" s="62">
        <f>VLOOKUP(B4209,合并仓明细!$D$2:$F$74,3,0)</f>
        <v>115</v>
      </c>
      <c r="D4209" s="122" t="s">
        <v>413</v>
      </c>
      <c r="E4209" s="123">
        <v>45996</v>
      </c>
      <c r="F4209" s="121" t="s">
        <v>66</v>
      </c>
      <c r="G4209" s="121">
        <v>570.2600000000001</v>
      </c>
      <c r="H4209" s="124"/>
      <c r="I4209" s="125"/>
      <c r="J4209" s="125"/>
      <c r="K4209" s="125"/>
      <c r="L4209" s="121"/>
      <c r="M4209" s="126"/>
      <c r="N4209" s="121"/>
    </row>
    <row r="4210" spans="1:14" x14ac:dyDescent="0.25">
      <c r="A4210" s="121" t="s">
        <v>81</v>
      </c>
      <c r="B4210" s="121" t="s">
        <v>163</v>
      </c>
      <c r="C4210" s="62">
        <f>VLOOKUP(B4210,合并仓明细!$D$2:$F$74,3,0)</f>
        <v>115</v>
      </c>
      <c r="D4210" s="122" t="s">
        <v>413</v>
      </c>
      <c r="E4210" s="123">
        <v>46002</v>
      </c>
      <c r="F4210" s="121" t="s">
        <v>68</v>
      </c>
      <c r="G4210" s="121">
        <v>1398.8</v>
      </c>
      <c r="H4210" s="124">
        <v>5.6247400000000001</v>
      </c>
      <c r="I4210" s="46">
        <f>ROUNDUP(H4210/30,0)*VLOOKUP(D4210,'报价表-配送'!$B$32:$I$37,8,0)</f>
        <v>0</v>
      </c>
      <c r="J4210" s="125"/>
      <c r="K4210" s="125"/>
      <c r="L4210" s="121"/>
      <c r="M4210" s="126"/>
      <c r="N4210" s="127">
        <f t="shared" ref="N4210" si="474">SUM(I4210:L4210)</f>
        <v>0</v>
      </c>
    </row>
    <row r="4211" spans="1:14" x14ac:dyDescent="0.25">
      <c r="A4211" s="121" t="s">
        <v>81</v>
      </c>
      <c r="B4211" s="121" t="s">
        <v>163</v>
      </c>
      <c r="C4211" s="62">
        <f>VLOOKUP(B4211,合并仓明细!$D$2:$F$74,3,0)</f>
        <v>115</v>
      </c>
      <c r="D4211" s="122" t="s">
        <v>413</v>
      </c>
      <c r="E4211" s="123">
        <v>46002</v>
      </c>
      <c r="F4211" s="121" t="s">
        <v>67</v>
      </c>
      <c r="G4211" s="121">
        <v>110.54</v>
      </c>
      <c r="H4211" s="124"/>
      <c r="I4211" s="125"/>
      <c r="J4211" s="125"/>
      <c r="K4211" s="125"/>
      <c r="L4211" s="121"/>
      <c r="M4211" s="126"/>
      <c r="N4211" s="121"/>
    </row>
    <row r="4212" spans="1:14" x14ac:dyDescent="0.25">
      <c r="A4212" s="121" t="s">
        <v>81</v>
      </c>
      <c r="B4212" s="121" t="s">
        <v>163</v>
      </c>
      <c r="C4212" s="62">
        <f>VLOOKUP(B4212,合并仓明细!$D$2:$F$74,3,0)</f>
        <v>115</v>
      </c>
      <c r="D4212" s="122" t="s">
        <v>413</v>
      </c>
      <c r="E4212" s="123">
        <v>46002</v>
      </c>
      <c r="F4212" s="121" t="s">
        <v>66</v>
      </c>
      <c r="G4212" s="121">
        <v>4115.3999999999996</v>
      </c>
      <c r="H4212" s="124"/>
      <c r="I4212" s="125"/>
      <c r="J4212" s="125"/>
      <c r="K4212" s="125"/>
      <c r="L4212" s="121"/>
      <c r="M4212" s="126"/>
      <c r="N4212" s="121"/>
    </row>
    <row r="4213" spans="1:14" x14ac:dyDescent="0.25">
      <c r="A4213" s="121" t="s">
        <v>81</v>
      </c>
      <c r="B4213" s="121" t="s">
        <v>163</v>
      </c>
      <c r="C4213" s="62">
        <f>VLOOKUP(B4213,合并仓明细!$D$2:$F$74,3,0)</f>
        <v>115</v>
      </c>
      <c r="D4213" s="122" t="s">
        <v>413</v>
      </c>
      <c r="E4213" s="123">
        <v>46003</v>
      </c>
      <c r="F4213" s="121" t="s">
        <v>67</v>
      </c>
      <c r="G4213" s="121">
        <v>12.629999999999999</v>
      </c>
      <c r="H4213" s="124">
        <v>0.76157000000000008</v>
      </c>
      <c r="I4213" s="38">
        <f>IF(H4213&gt;30,QUOTIENT(H4213,30)*VLOOKUP(D4213,'报价表-配送'!$B$32:$I$37,8,0),0)+IF(AND(MOD(H4213,30)&gt;18,MOD(H4213,30)&lt;=30),1,0)*VLOOKUP(D4213,'报价表-配送'!$B$32:$I$37,8,0)</f>
        <v>0</v>
      </c>
      <c r="J4213" s="38">
        <f>IF(AND(MOD(H4213,30)&gt;8,MOD(H4213,30)&lt;=18),1*VLOOKUP(D4213,'报价表-配送'!$B$32:$I$37,7,0),0)</f>
        <v>0</v>
      </c>
      <c r="K4213" s="38">
        <f>IF(AND(MOD(H4213,30)&lt;=8,MOD(H4213,30)&gt;0),1,0)*VLOOKUP(D4213,'报价表-配送'!$B$32:$I$37,6,0)</f>
        <v>0</v>
      </c>
      <c r="L4213" s="121"/>
      <c r="M4213" s="126"/>
      <c r="N4213" s="127">
        <f t="shared" ref="N4213" si="475">SUM(I4213:L4213)</f>
        <v>0</v>
      </c>
    </row>
    <row r="4214" spans="1:14" x14ac:dyDescent="0.25">
      <c r="A4214" s="121" t="s">
        <v>81</v>
      </c>
      <c r="B4214" s="121" t="s">
        <v>163</v>
      </c>
      <c r="C4214" s="62">
        <f>VLOOKUP(B4214,合并仓明细!$D$2:$F$74,3,0)</f>
        <v>115</v>
      </c>
      <c r="D4214" s="122" t="s">
        <v>413</v>
      </c>
      <c r="E4214" s="123">
        <v>46003</v>
      </c>
      <c r="F4214" s="121" t="s">
        <v>66</v>
      </c>
      <c r="G4214" s="121">
        <v>748.94</v>
      </c>
      <c r="H4214" s="124"/>
      <c r="I4214" s="125"/>
      <c r="J4214" s="125"/>
      <c r="K4214" s="125"/>
      <c r="L4214" s="121"/>
      <c r="M4214" s="126"/>
      <c r="N4214" s="121"/>
    </row>
    <row r="4215" spans="1:14" x14ac:dyDescent="0.25">
      <c r="A4215" s="121" t="s">
        <v>81</v>
      </c>
      <c r="B4215" s="121" t="s">
        <v>163</v>
      </c>
      <c r="C4215" s="62">
        <f>VLOOKUP(B4215,合并仓明细!$D$2:$F$74,3,0)</f>
        <v>115</v>
      </c>
      <c r="D4215" s="122" t="s">
        <v>413</v>
      </c>
      <c r="E4215" s="123">
        <v>46006</v>
      </c>
      <c r="F4215" s="121" t="s">
        <v>66</v>
      </c>
      <c r="G4215" s="121">
        <v>7.8</v>
      </c>
      <c r="H4215" s="124">
        <v>7.7999999999999996E-3</v>
      </c>
      <c r="I4215" s="125"/>
      <c r="J4215" s="125"/>
      <c r="K4215" s="125"/>
      <c r="L4215" s="37">
        <f>IF(H4215&gt;30,QUOTIENT(H4215,30)*VLOOKUP(D4215,'报价表-配送'!$B$32:$I$37,8,0),0)+IF(AND(MOD(H4215,30)&gt;18,MOD(H4215,30)&lt;=30),1,0)*VLOOKUP(D4215,'报价表-配送'!$B$32:$I$37,8,0)+IF(AND(MOD(H4215,30)&gt;8,MOD(H4215,30)&lt;=18),1*VLOOKUP(D4215,'报价表-配送'!$B$32:$I$37,7,0),0)+IF(AND(MOD(H4215,30)&lt;=8,MOD(H4215,30)&gt;2.5),1,0)*VLOOKUP(D4215,'报价表-配送'!$B$32:$I$37,6,0)+IF(AND(MOD(H4215,30)&lt;=2.5,MOD(H4215,30)&gt;=1.5),1,0)*VLOOKUP(D4215,'报价表-配送'!$B$32:$I$37,5,0)</f>
        <v>0</v>
      </c>
      <c r="M4215" s="39">
        <f>IF(AND(MOD(H4215,30)&lt;1.5,MOD(H4215,30)&gt;=0.5),H4215,0)*VLOOKUP(D4215,'报价表-配送'!$B$32:$I$37,4,0)*1000+IF(AND(MOD(H4215,30)&lt;0.5,MOD(H4215,30)&gt;=0.02),H4215,0)*VLOOKUP(D4215,'报价表-配送'!$B$32:$I$37,3,0)*1000+IF(AND(MOD(H4215,30)&lt;0.02),H4215,0)*VLOOKUP(D4215,'报价表-配送'!$B$32:$I$37,2,0)*1000</f>
        <v>0</v>
      </c>
      <c r="N4215" s="127">
        <f t="shared" ref="N4215:N4223" si="476">SUM(I4215:L4215)</f>
        <v>0</v>
      </c>
    </row>
    <row r="4216" spans="1:14" x14ac:dyDescent="0.25">
      <c r="A4216" s="121" t="s">
        <v>81</v>
      </c>
      <c r="B4216" s="121" t="s">
        <v>163</v>
      </c>
      <c r="C4216" s="62">
        <f>VLOOKUP(B4216,合并仓明细!$D$2:$F$74,3,0)</f>
        <v>115</v>
      </c>
      <c r="D4216" s="122" t="s">
        <v>413</v>
      </c>
      <c r="E4216" s="123">
        <v>46008</v>
      </c>
      <c r="F4216" s="121" t="s">
        <v>67</v>
      </c>
      <c r="G4216" s="121">
        <v>9.8699999999999992</v>
      </c>
      <c r="H4216" s="124">
        <v>9.8699999999999986E-3</v>
      </c>
      <c r="I4216" s="38">
        <f>IF(H4216&gt;30,QUOTIENT(H4216,30)*VLOOKUP(D4216,'报价表-配送'!$B$32:$I$37,8,0),0)+IF(AND(MOD(H4216,30)&gt;18,MOD(H4216,30)&lt;=30),1,0)*VLOOKUP(D4216,'报价表-配送'!$B$32:$I$37,8,0)</f>
        <v>0</v>
      </c>
      <c r="J4216" s="38">
        <f>IF(AND(MOD(H4216,30)&gt;8,MOD(H4216,30)&lt;=18),1*VLOOKUP(D4216,'报价表-配送'!$B$32:$I$37,7,0),0)</f>
        <v>0</v>
      </c>
      <c r="K4216" s="38">
        <f>IF(AND(MOD(H4216,30)&lt;=8,MOD(H4216,30)&gt;0),1,0)*VLOOKUP(D4216,'报价表-配送'!$B$32:$I$37,6,0)</f>
        <v>0</v>
      </c>
      <c r="L4216" s="121"/>
      <c r="M4216" s="126"/>
      <c r="N4216" s="127">
        <f t="shared" si="476"/>
        <v>0</v>
      </c>
    </row>
    <row r="4217" spans="1:14" x14ac:dyDescent="0.25">
      <c r="A4217" s="121" t="s">
        <v>81</v>
      </c>
      <c r="B4217" s="121" t="s">
        <v>163</v>
      </c>
      <c r="C4217" s="62">
        <f>VLOOKUP(B4217,合并仓明细!$D$2:$F$74,3,0)</f>
        <v>115</v>
      </c>
      <c r="D4217" s="122" t="s">
        <v>413</v>
      </c>
      <c r="E4217" s="123">
        <v>46010</v>
      </c>
      <c r="F4217" s="121" t="s">
        <v>67</v>
      </c>
      <c r="G4217" s="121">
        <v>1353.64</v>
      </c>
      <c r="H4217" s="124">
        <v>1.3536400000000002</v>
      </c>
      <c r="I4217" s="38">
        <f>IF(H4217&gt;30,QUOTIENT(H4217,30)*VLOOKUP(D4217,'报价表-配送'!$B$32:$I$37,8,0),0)+IF(AND(MOD(H4217,30)&gt;18,MOD(H4217,30)&lt;=30),1,0)*VLOOKUP(D4217,'报价表-配送'!$B$32:$I$37,8,0)</f>
        <v>0</v>
      </c>
      <c r="J4217" s="38">
        <f>IF(AND(MOD(H4217,30)&gt;8,MOD(H4217,30)&lt;=18),1*VLOOKUP(D4217,'报价表-配送'!$B$32:$I$37,7,0),0)</f>
        <v>0</v>
      </c>
      <c r="K4217" s="38">
        <f>IF(AND(MOD(H4217,30)&lt;=8,MOD(H4217,30)&gt;0),1,0)*VLOOKUP(D4217,'报价表-配送'!$B$32:$I$37,6,0)</f>
        <v>0</v>
      </c>
      <c r="L4217" s="121"/>
      <c r="M4217" s="126"/>
      <c r="N4217" s="127">
        <f t="shared" si="476"/>
        <v>0</v>
      </c>
    </row>
    <row r="4218" spans="1:14" x14ac:dyDescent="0.25">
      <c r="A4218" s="121" t="s">
        <v>81</v>
      </c>
      <c r="B4218" s="121" t="s">
        <v>163</v>
      </c>
      <c r="C4218" s="62">
        <f>VLOOKUP(B4218,合并仓明细!$D$2:$F$74,3,0)</f>
        <v>115</v>
      </c>
      <c r="D4218" s="122" t="s">
        <v>413</v>
      </c>
      <c r="E4218" s="123">
        <v>46013</v>
      </c>
      <c r="F4218" s="121" t="s">
        <v>66</v>
      </c>
      <c r="G4218" s="121">
        <v>3.76</v>
      </c>
      <c r="H4218" s="124">
        <v>3.7599999999999999E-3</v>
      </c>
      <c r="I4218" s="125"/>
      <c r="J4218" s="125"/>
      <c r="K4218" s="125"/>
      <c r="L4218" s="37">
        <f>IF(H4218&gt;30,QUOTIENT(H4218,30)*VLOOKUP(D4218,'报价表-配送'!$B$32:$I$37,8,0),0)+IF(AND(MOD(H4218,30)&gt;18,MOD(H4218,30)&lt;=30),1,0)*VLOOKUP(D4218,'报价表-配送'!$B$32:$I$37,8,0)+IF(AND(MOD(H4218,30)&gt;8,MOD(H4218,30)&lt;=18),1*VLOOKUP(D4218,'报价表-配送'!$B$32:$I$37,7,0),0)+IF(AND(MOD(H4218,30)&lt;=8,MOD(H4218,30)&gt;2.5),1,0)*VLOOKUP(D4218,'报价表-配送'!$B$32:$I$37,6,0)+IF(AND(MOD(H4218,30)&lt;=2.5,MOD(H4218,30)&gt;=1.5),1,0)*VLOOKUP(D4218,'报价表-配送'!$B$32:$I$37,5,0)</f>
        <v>0</v>
      </c>
      <c r="M4218" s="39">
        <f>IF(AND(MOD(H4218,30)&lt;1.5,MOD(H4218,30)&gt;=0.5),H4218,0)*VLOOKUP(D4218,'报价表-配送'!$B$32:$I$37,4,0)*1000+IF(AND(MOD(H4218,30)&lt;0.5,MOD(H4218,30)&gt;=0.02),H4218,0)*VLOOKUP(D4218,'报价表-配送'!$B$32:$I$37,3,0)*1000+IF(AND(MOD(H4218,30)&lt;0.02),H4218,0)*VLOOKUP(D4218,'报价表-配送'!$B$32:$I$37,2,0)*1000</f>
        <v>0</v>
      </c>
      <c r="N4218" s="127">
        <f t="shared" si="476"/>
        <v>0</v>
      </c>
    </row>
    <row r="4219" spans="1:14" x14ac:dyDescent="0.25">
      <c r="A4219" s="121" t="s">
        <v>81</v>
      </c>
      <c r="B4219" s="121" t="s">
        <v>163</v>
      </c>
      <c r="C4219" s="62">
        <f>VLOOKUP(B4219,合并仓明细!$D$2:$F$74,3,0)</f>
        <v>115</v>
      </c>
      <c r="D4219" s="122" t="s">
        <v>413</v>
      </c>
      <c r="E4219" s="123">
        <v>46016</v>
      </c>
      <c r="F4219" s="121" t="s">
        <v>66</v>
      </c>
      <c r="G4219" s="121">
        <v>49.22</v>
      </c>
      <c r="H4219" s="124">
        <v>4.922E-2</v>
      </c>
      <c r="I4219" s="125"/>
      <c r="J4219" s="125"/>
      <c r="K4219" s="125"/>
      <c r="L4219" s="37">
        <f>IF(H4219&gt;30,QUOTIENT(H4219,30)*VLOOKUP(D4219,'报价表-配送'!$B$32:$I$37,8,0),0)+IF(AND(MOD(H4219,30)&gt;18,MOD(H4219,30)&lt;=30),1,0)*VLOOKUP(D4219,'报价表-配送'!$B$32:$I$37,8,0)+IF(AND(MOD(H4219,30)&gt;8,MOD(H4219,30)&lt;=18),1*VLOOKUP(D4219,'报价表-配送'!$B$32:$I$37,7,0),0)+IF(AND(MOD(H4219,30)&lt;=8,MOD(H4219,30)&gt;2.5),1,0)*VLOOKUP(D4219,'报价表-配送'!$B$32:$I$37,6,0)+IF(AND(MOD(H4219,30)&lt;=2.5,MOD(H4219,30)&gt;=1.5),1,0)*VLOOKUP(D4219,'报价表-配送'!$B$32:$I$37,5,0)</f>
        <v>0</v>
      </c>
      <c r="M4219" s="39">
        <f>IF(AND(MOD(H4219,30)&lt;1.5,MOD(H4219,30)&gt;=0.5),H4219,0)*VLOOKUP(D4219,'报价表-配送'!$B$32:$I$37,4,0)*1000+IF(AND(MOD(H4219,30)&lt;0.5,MOD(H4219,30)&gt;=0.02),H4219,0)*VLOOKUP(D4219,'报价表-配送'!$B$32:$I$37,3,0)*1000+IF(AND(MOD(H4219,30)&lt;0.02),H4219,0)*VLOOKUP(D4219,'报价表-配送'!$B$32:$I$37,2,0)*1000</f>
        <v>0</v>
      </c>
      <c r="N4219" s="127">
        <f t="shared" si="476"/>
        <v>0</v>
      </c>
    </row>
    <row r="4220" spans="1:14" x14ac:dyDescent="0.25">
      <c r="A4220" s="121" t="s">
        <v>81</v>
      </c>
      <c r="B4220" s="121" t="s">
        <v>163</v>
      </c>
      <c r="C4220" s="62">
        <f>VLOOKUP(B4220,合并仓明细!$D$2:$F$74,3,0)</f>
        <v>115</v>
      </c>
      <c r="D4220" s="122" t="s">
        <v>413</v>
      </c>
      <c r="E4220" s="123">
        <v>46017</v>
      </c>
      <c r="F4220" s="121" t="s">
        <v>66</v>
      </c>
      <c r="G4220" s="121">
        <v>0.2</v>
      </c>
      <c r="H4220" s="124">
        <v>2.0000000000000001E-4</v>
      </c>
      <c r="I4220" s="125"/>
      <c r="J4220" s="125"/>
      <c r="K4220" s="125"/>
      <c r="L4220" s="37">
        <f>IF(H4220&gt;30,QUOTIENT(H4220,30)*VLOOKUP(D4220,'报价表-配送'!$B$32:$I$37,8,0),0)+IF(AND(MOD(H4220,30)&gt;18,MOD(H4220,30)&lt;=30),1,0)*VLOOKUP(D4220,'报价表-配送'!$B$32:$I$37,8,0)+IF(AND(MOD(H4220,30)&gt;8,MOD(H4220,30)&lt;=18),1*VLOOKUP(D4220,'报价表-配送'!$B$32:$I$37,7,0),0)+IF(AND(MOD(H4220,30)&lt;=8,MOD(H4220,30)&gt;2.5),1,0)*VLOOKUP(D4220,'报价表-配送'!$B$32:$I$37,6,0)+IF(AND(MOD(H4220,30)&lt;=2.5,MOD(H4220,30)&gt;=1.5),1,0)*VLOOKUP(D4220,'报价表-配送'!$B$32:$I$37,5,0)</f>
        <v>0</v>
      </c>
      <c r="M4220" s="39">
        <f>IF(AND(MOD(H4220,30)&lt;1.5,MOD(H4220,30)&gt;=0.5),H4220,0)*VLOOKUP(D4220,'报价表-配送'!$B$32:$I$37,4,0)*1000+IF(AND(MOD(H4220,30)&lt;0.5,MOD(H4220,30)&gt;=0.02),H4220,0)*VLOOKUP(D4220,'报价表-配送'!$B$32:$I$37,3,0)*1000+IF(AND(MOD(H4220,30)&lt;0.02),H4220,0)*VLOOKUP(D4220,'报价表-配送'!$B$32:$I$37,2,0)*1000</f>
        <v>0</v>
      </c>
      <c r="N4220" s="127">
        <f t="shared" si="476"/>
        <v>0</v>
      </c>
    </row>
    <row r="4221" spans="1:14" x14ac:dyDescent="0.25">
      <c r="A4221" s="121" t="s">
        <v>81</v>
      </c>
      <c r="B4221" s="121" t="s">
        <v>163</v>
      </c>
      <c r="C4221" s="62">
        <f>VLOOKUP(B4221,合并仓明细!$D$2:$F$74,3,0)</f>
        <v>115</v>
      </c>
      <c r="D4221" s="122" t="s">
        <v>413</v>
      </c>
      <c r="E4221" s="123">
        <v>46020</v>
      </c>
      <c r="F4221" s="121" t="s">
        <v>66</v>
      </c>
      <c r="G4221" s="121">
        <v>667.77</v>
      </c>
      <c r="H4221" s="124">
        <v>0.66776999999999997</v>
      </c>
      <c r="I4221" s="125"/>
      <c r="J4221" s="125"/>
      <c r="K4221" s="125"/>
      <c r="L4221" s="37">
        <f>IF(H4221&gt;30,QUOTIENT(H4221,30)*VLOOKUP(D4221,'报价表-配送'!$B$32:$I$37,8,0),0)+IF(AND(MOD(H4221,30)&gt;18,MOD(H4221,30)&lt;=30),1,0)*VLOOKUP(D4221,'报价表-配送'!$B$32:$I$37,8,0)+IF(AND(MOD(H4221,30)&gt;8,MOD(H4221,30)&lt;=18),1*VLOOKUP(D4221,'报价表-配送'!$B$32:$I$37,7,0),0)+IF(AND(MOD(H4221,30)&lt;=8,MOD(H4221,30)&gt;2.5),1,0)*VLOOKUP(D4221,'报价表-配送'!$B$32:$I$37,6,0)+IF(AND(MOD(H4221,30)&lt;=2.5,MOD(H4221,30)&gt;=1.5),1,0)*VLOOKUP(D4221,'报价表-配送'!$B$32:$I$37,5,0)</f>
        <v>0</v>
      </c>
      <c r="M4221" s="39">
        <f>IF(AND(MOD(H4221,30)&lt;1.5,MOD(H4221,30)&gt;=0.5),H4221,0)*VLOOKUP(D4221,'报价表-配送'!$B$32:$I$37,4,0)*1000+IF(AND(MOD(H4221,30)&lt;0.5,MOD(H4221,30)&gt;=0.02),H4221,0)*VLOOKUP(D4221,'报价表-配送'!$B$32:$I$37,3,0)*1000+IF(AND(MOD(H4221,30)&lt;0.02),H4221,0)*VLOOKUP(D4221,'报价表-配送'!$B$32:$I$37,2,0)*1000</f>
        <v>0</v>
      </c>
      <c r="N4221" s="127">
        <f t="shared" si="476"/>
        <v>0</v>
      </c>
    </row>
    <row r="4222" spans="1:14" x14ac:dyDescent="0.25">
      <c r="A4222" s="121" t="s">
        <v>81</v>
      </c>
      <c r="B4222" s="121" t="s">
        <v>163</v>
      </c>
      <c r="C4222" s="62">
        <f>VLOOKUP(B4222,合并仓明细!$D$2:$F$74,3,0)</f>
        <v>115</v>
      </c>
      <c r="D4222" s="122" t="s">
        <v>413</v>
      </c>
      <c r="E4222" s="123">
        <v>46021</v>
      </c>
      <c r="F4222" s="121" t="s">
        <v>66</v>
      </c>
      <c r="G4222" s="121">
        <v>429.57</v>
      </c>
      <c r="H4222" s="124">
        <v>0.42957000000000001</v>
      </c>
      <c r="I4222" s="125"/>
      <c r="J4222" s="125"/>
      <c r="K4222" s="125"/>
      <c r="L4222" s="37">
        <f>IF(H4222&gt;30,QUOTIENT(H4222,30)*VLOOKUP(D4222,'报价表-配送'!$B$32:$I$37,8,0),0)+IF(AND(MOD(H4222,30)&gt;18,MOD(H4222,30)&lt;=30),1,0)*VLOOKUP(D4222,'报价表-配送'!$B$32:$I$37,8,0)+IF(AND(MOD(H4222,30)&gt;8,MOD(H4222,30)&lt;=18),1*VLOOKUP(D4222,'报价表-配送'!$B$32:$I$37,7,0),0)+IF(AND(MOD(H4222,30)&lt;=8,MOD(H4222,30)&gt;2.5),1,0)*VLOOKUP(D4222,'报价表-配送'!$B$32:$I$37,6,0)+IF(AND(MOD(H4222,30)&lt;=2.5,MOD(H4222,30)&gt;=1.5),1,0)*VLOOKUP(D4222,'报价表-配送'!$B$32:$I$37,5,0)</f>
        <v>0</v>
      </c>
      <c r="M4222" s="39">
        <f>IF(AND(MOD(H4222,30)&lt;1.5,MOD(H4222,30)&gt;=0.5),H4222,0)*VLOOKUP(D4222,'报价表-配送'!$B$32:$I$37,4,0)*1000+IF(AND(MOD(H4222,30)&lt;0.5,MOD(H4222,30)&gt;=0.02),H4222,0)*VLOOKUP(D4222,'报价表-配送'!$B$32:$I$37,3,0)*1000+IF(AND(MOD(H4222,30)&lt;0.02),H4222,0)*VLOOKUP(D4222,'报价表-配送'!$B$32:$I$37,2,0)*1000</f>
        <v>0</v>
      </c>
      <c r="N4222" s="127">
        <f t="shared" si="476"/>
        <v>0</v>
      </c>
    </row>
    <row r="4223" spans="1:14" x14ac:dyDescent="0.25">
      <c r="A4223" s="121" t="s">
        <v>81</v>
      </c>
      <c r="B4223" s="121" t="s">
        <v>164</v>
      </c>
      <c r="C4223" s="62">
        <f>VLOOKUP(B4223,合并仓明细!$D$2:$F$74,3,0)</f>
        <v>174</v>
      </c>
      <c r="D4223" s="122" t="s">
        <v>413</v>
      </c>
      <c r="E4223" s="123">
        <v>45941</v>
      </c>
      <c r="F4223" s="121" t="s">
        <v>68</v>
      </c>
      <c r="G4223" s="121">
        <v>771.5</v>
      </c>
      <c r="H4223" s="124">
        <v>0.83566999999999991</v>
      </c>
      <c r="I4223" s="46">
        <f>ROUNDUP(H4223/30,0)*VLOOKUP(D4223,'报价表-配送'!$B$32:$I$37,8,0)</f>
        <v>0</v>
      </c>
      <c r="J4223" s="125"/>
      <c r="K4223" s="125"/>
      <c r="L4223" s="121"/>
      <c r="M4223" s="126"/>
      <c r="N4223" s="127">
        <f t="shared" si="476"/>
        <v>0</v>
      </c>
    </row>
    <row r="4224" spans="1:14" x14ac:dyDescent="0.25">
      <c r="A4224" s="121" t="s">
        <v>81</v>
      </c>
      <c r="B4224" s="121" t="s">
        <v>164</v>
      </c>
      <c r="C4224" s="62">
        <f>VLOOKUP(B4224,合并仓明细!$D$2:$F$74,3,0)</f>
        <v>174</v>
      </c>
      <c r="D4224" s="122" t="s">
        <v>413</v>
      </c>
      <c r="E4224" s="123">
        <v>45941</v>
      </c>
      <c r="F4224" s="121" t="s">
        <v>66</v>
      </c>
      <c r="G4224" s="121">
        <v>64.17</v>
      </c>
      <c r="H4224" s="124"/>
      <c r="I4224" s="125"/>
      <c r="J4224" s="125"/>
      <c r="K4224" s="125"/>
      <c r="L4224" s="121"/>
      <c r="M4224" s="126"/>
      <c r="N4224" s="121"/>
    </row>
    <row r="4225" spans="1:14" x14ac:dyDescent="0.25">
      <c r="A4225" s="121" t="s">
        <v>81</v>
      </c>
      <c r="B4225" s="121" t="s">
        <v>164</v>
      </c>
      <c r="C4225" s="62">
        <f>VLOOKUP(B4225,合并仓明细!$D$2:$F$74,3,0)</f>
        <v>174</v>
      </c>
      <c r="D4225" s="122" t="s">
        <v>413</v>
      </c>
      <c r="E4225" s="123">
        <v>45944</v>
      </c>
      <c r="F4225" s="121" t="s">
        <v>66</v>
      </c>
      <c r="G4225" s="121">
        <v>49.46</v>
      </c>
      <c r="H4225" s="124">
        <v>4.9460000000000004E-2</v>
      </c>
      <c r="I4225" s="125"/>
      <c r="J4225" s="125"/>
      <c r="K4225" s="125"/>
      <c r="L4225" s="37">
        <f>IF(H4225&gt;30,QUOTIENT(H4225,30)*VLOOKUP(D4225,'报价表-配送'!$B$32:$I$37,8,0),0)+IF(AND(MOD(H4225,30)&gt;18,MOD(H4225,30)&lt;=30),1,0)*VLOOKUP(D4225,'报价表-配送'!$B$32:$I$37,8,0)+IF(AND(MOD(H4225,30)&gt;8,MOD(H4225,30)&lt;=18),1*VLOOKUP(D4225,'报价表-配送'!$B$32:$I$37,7,0),0)+IF(AND(MOD(H4225,30)&lt;=8,MOD(H4225,30)&gt;2.5),1,0)*VLOOKUP(D4225,'报价表-配送'!$B$32:$I$37,6,0)+IF(AND(MOD(H4225,30)&lt;=2.5,MOD(H4225,30)&gt;=1.5),1,0)*VLOOKUP(D4225,'报价表-配送'!$B$32:$I$37,5,0)</f>
        <v>0</v>
      </c>
      <c r="M4225" s="39">
        <f>IF(AND(MOD(H4225,30)&lt;1.5,MOD(H4225,30)&gt;=0.5),H4225,0)*VLOOKUP(D4225,'报价表-配送'!$B$32:$I$37,4,0)*1000+IF(AND(MOD(H4225,30)&lt;0.5,MOD(H4225,30)&gt;=0.02),H4225,0)*VLOOKUP(D4225,'报价表-配送'!$B$32:$I$37,3,0)*1000+IF(AND(MOD(H4225,30)&lt;0.02),H4225,0)*VLOOKUP(D4225,'报价表-配送'!$B$32:$I$37,2,0)*1000</f>
        <v>0</v>
      </c>
      <c r="N4225" s="127">
        <f t="shared" ref="N4225:N4226" si="477">SUM(I4225:L4225)</f>
        <v>0</v>
      </c>
    </row>
    <row r="4226" spans="1:14" x14ac:dyDescent="0.25">
      <c r="A4226" s="121" t="s">
        <v>81</v>
      </c>
      <c r="B4226" s="121" t="s">
        <v>164</v>
      </c>
      <c r="C4226" s="62">
        <f>VLOOKUP(B4226,合并仓明细!$D$2:$F$74,3,0)</f>
        <v>174</v>
      </c>
      <c r="D4226" s="122" t="s">
        <v>413</v>
      </c>
      <c r="E4226" s="123">
        <v>45945</v>
      </c>
      <c r="F4226" s="121" t="s">
        <v>67</v>
      </c>
      <c r="G4226" s="121">
        <v>1230.5999999999999</v>
      </c>
      <c r="H4226" s="124">
        <v>1.7762500000000001</v>
      </c>
      <c r="I4226" s="38">
        <f>IF(H4226&gt;30,QUOTIENT(H4226,30)*VLOOKUP(D4226,'报价表-配送'!$B$32:$I$37,8,0),0)+IF(AND(MOD(H4226,30)&gt;18,MOD(H4226,30)&lt;=30),1,0)*VLOOKUP(D4226,'报价表-配送'!$B$32:$I$37,8,0)</f>
        <v>0</v>
      </c>
      <c r="J4226" s="38">
        <f>IF(AND(MOD(H4226,30)&gt;8,MOD(H4226,30)&lt;=18),1*VLOOKUP(D4226,'报价表-配送'!$B$32:$I$37,7,0),0)</f>
        <v>0</v>
      </c>
      <c r="K4226" s="38">
        <f>IF(AND(MOD(H4226,30)&lt;=8,MOD(H4226,30)&gt;0),1,0)*VLOOKUP(D4226,'报价表-配送'!$B$32:$I$37,6,0)</f>
        <v>0</v>
      </c>
      <c r="L4226" s="121"/>
      <c r="M4226" s="126"/>
      <c r="N4226" s="127">
        <f t="shared" si="477"/>
        <v>0</v>
      </c>
    </row>
    <row r="4227" spans="1:14" x14ac:dyDescent="0.25">
      <c r="A4227" s="121" t="s">
        <v>81</v>
      </c>
      <c r="B4227" s="121" t="s">
        <v>164</v>
      </c>
      <c r="C4227" s="62">
        <f>VLOOKUP(B4227,合并仓明细!$D$2:$F$74,3,0)</f>
        <v>174</v>
      </c>
      <c r="D4227" s="122" t="s">
        <v>413</v>
      </c>
      <c r="E4227" s="123">
        <v>45945</v>
      </c>
      <c r="F4227" s="121" t="s">
        <v>66</v>
      </c>
      <c r="G4227" s="121">
        <v>545.65000000000009</v>
      </c>
      <c r="H4227" s="124"/>
      <c r="I4227" s="125"/>
      <c r="J4227" s="125"/>
      <c r="K4227" s="125"/>
      <c r="L4227" s="121"/>
      <c r="M4227" s="126"/>
      <c r="N4227" s="121"/>
    </row>
    <row r="4228" spans="1:14" x14ac:dyDescent="0.25">
      <c r="A4228" s="121" t="s">
        <v>81</v>
      </c>
      <c r="B4228" s="121" t="s">
        <v>164</v>
      </c>
      <c r="C4228" s="62">
        <f>VLOOKUP(B4228,合并仓明细!$D$2:$F$74,3,0)</f>
        <v>174</v>
      </c>
      <c r="D4228" s="122" t="s">
        <v>413</v>
      </c>
      <c r="E4228" s="123">
        <v>45954</v>
      </c>
      <c r="F4228" s="121" t="s">
        <v>67</v>
      </c>
      <c r="G4228" s="121">
        <v>7936.91</v>
      </c>
      <c r="H4228" s="124">
        <v>9.3941700000000008</v>
      </c>
      <c r="I4228" s="38">
        <f>IF(H4228&gt;30,QUOTIENT(H4228,30)*VLOOKUP(D4228,'报价表-配送'!$B$32:$I$37,8,0),0)+IF(AND(MOD(H4228,30)&gt;18,MOD(H4228,30)&lt;=30),1,0)*VLOOKUP(D4228,'报价表-配送'!$B$32:$I$37,8,0)</f>
        <v>0</v>
      </c>
      <c r="J4228" s="38">
        <f>IF(AND(MOD(H4228,30)&gt;8,MOD(H4228,30)&lt;=18),1*VLOOKUP(D4228,'报价表-配送'!$B$32:$I$37,7,0),0)</f>
        <v>0</v>
      </c>
      <c r="K4228" s="38">
        <f>IF(AND(MOD(H4228,30)&lt;=8,MOD(H4228,30)&gt;0),1,0)*VLOOKUP(D4228,'报价表-配送'!$B$32:$I$37,6,0)</f>
        <v>0</v>
      </c>
      <c r="L4228" s="121"/>
      <c r="M4228" s="126"/>
      <c r="N4228" s="127">
        <f t="shared" ref="N4228" si="478">SUM(I4228:L4228)</f>
        <v>0</v>
      </c>
    </row>
    <row r="4229" spans="1:14" x14ac:dyDescent="0.25">
      <c r="A4229" s="121" t="s">
        <v>81</v>
      </c>
      <c r="B4229" s="121" t="s">
        <v>164</v>
      </c>
      <c r="C4229" s="62">
        <f>VLOOKUP(B4229,合并仓明细!$D$2:$F$74,3,0)</f>
        <v>174</v>
      </c>
      <c r="D4229" s="122" t="s">
        <v>413</v>
      </c>
      <c r="E4229" s="123">
        <v>45954</v>
      </c>
      <c r="F4229" s="121" t="s">
        <v>66</v>
      </c>
      <c r="G4229" s="121">
        <v>1457.26</v>
      </c>
      <c r="H4229" s="124"/>
      <c r="I4229" s="125"/>
      <c r="J4229" s="125"/>
      <c r="K4229" s="125"/>
      <c r="L4229" s="121"/>
      <c r="M4229" s="126"/>
      <c r="N4229" s="121"/>
    </row>
    <row r="4230" spans="1:14" x14ac:dyDescent="0.25">
      <c r="A4230" s="121" t="s">
        <v>81</v>
      </c>
      <c r="B4230" s="121" t="s">
        <v>164</v>
      </c>
      <c r="C4230" s="62">
        <f>VLOOKUP(B4230,合并仓明细!$D$2:$F$74,3,0)</f>
        <v>174</v>
      </c>
      <c r="D4230" s="122" t="s">
        <v>413</v>
      </c>
      <c r="E4230" s="123">
        <v>45964</v>
      </c>
      <c r="F4230" s="121" t="s">
        <v>66</v>
      </c>
      <c r="G4230" s="121">
        <v>120</v>
      </c>
      <c r="H4230" s="124">
        <v>0.12</v>
      </c>
      <c r="I4230" s="125"/>
      <c r="J4230" s="125"/>
      <c r="K4230" s="125"/>
      <c r="L4230" s="37">
        <f>IF(H4230&gt;30,QUOTIENT(H4230,30)*VLOOKUP(D4230,'报价表-配送'!$B$32:$I$37,8,0),0)+IF(AND(MOD(H4230,30)&gt;18,MOD(H4230,30)&lt;=30),1,0)*VLOOKUP(D4230,'报价表-配送'!$B$32:$I$37,8,0)+IF(AND(MOD(H4230,30)&gt;8,MOD(H4230,30)&lt;=18),1*VLOOKUP(D4230,'报价表-配送'!$B$32:$I$37,7,0),0)+IF(AND(MOD(H4230,30)&lt;=8,MOD(H4230,30)&gt;2.5),1,0)*VLOOKUP(D4230,'报价表-配送'!$B$32:$I$37,6,0)+IF(AND(MOD(H4230,30)&lt;=2.5,MOD(H4230,30)&gt;=1.5),1,0)*VLOOKUP(D4230,'报价表-配送'!$B$32:$I$37,5,0)</f>
        <v>0</v>
      </c>
      <c r="M4230" s="39">
        <f>IF(AND(MOD(H4230,30)&lt;1.5,MOD(H4230,30)&gt;=0.5),H4230,0)*VLOOKUP(D4230,'报价表-配送'!$B$32:$I$37,4,0)*1000+IF(AND(MOD(H4230,30)&lt;0.5,MOD(H4230,30)&gt;=0.02),H4230,0)*VLOOKUP(D4230,'报价表-配送'!$B$32:$I$37,3,0)*1000+IF(AND(MOD(H4230,30)&lt;0.02),H4230,0)*VLOOKUP(D4230,'报价表-配送'!$B$32:$I$37,2,0)*1000</f>
        <v>0</v>
      </c>
      <c r="N4230" s="127">
        <f t="shared" ref="N4230:N4236" si="479">SUM(I4230:L4230)</f>
        <v>0</v>
      </c>
    </row>
    <row r="4231" spans="1:14" x14ac:dyDescent="0.25">
      <c r="A4231" s="121" t="s">
        <v>81</v>
      </c>
      <c r="B4231" s="121" t="s">
        <v>164</v>
      </c>
      <c r="C4231" s="62">
        <f>VLOOKUP(B4231,合并仓明细!$D$2:$F$74,3,0)</f>
        <v>174</v>
      </c>
      <c r="D4231" s="122" t="s">
        <v>413</v>
      </c>
      <c r="E4231" s="123">
        <v>45980</v>
      </c>
      <c r="F4231" s="121" t="s">
        <v>66</v>
      </c>
      <c r="G4231" s="121">
        <v>65.44</v>
      </c>
      <c r="H4231" s="124">
        <v>6.5439999999999998E-2</v>
      </c>
      <c r="I4231" s="125"/>
      <c r="J4231" s="125"/>
      <c r="K4231" s="125"/>
      <c r="L4231" s="37">
        <f>IF(H4231&gt;30,QUOTIENT(H4231,30)*VLOOKUP(D4231,'报价表-配送'!$B$32:$I$37,8,0),0)+IF(AND(MOD(H4231,30)&gt;18,MOD(H4231,30)&lt;=30),1,0)*VLOOKUP(D4231,'报价表-配送'!$B$32:$I$37,8,0)+IF(AND(MOD(H4231,30)&gt;8,MOD(H4231,30)&lt;=18),1*VLOOKUP(D4231,'报价表-配送'!$B$32:$I$37,7,0),0)+IF(AND(MOD(H4231,30)&lt;=8,MOD(H4231,30)&gt;2.5),1,0)*VLOOKUP(D4231,'报价表-配送'!$B$32:$I$37,6,0)+IF(AND(MOD(H4231,30)&lt;=2.5,MOD(H4231,30)&gt;=1.5),1,0)*VLOOKUP(D4231,'报价表-配送'!$B$32:$I$37,5,0)</f>
        <v>0</v>
      </c>
      <c r="M4231" s="39">
        <f>IF(AND(MOD(H4231,30)&lt;1.5,MOD(H4231,30)&gt;=0.5),H4231,0)*VLOOKUP(D4231,'报价表-配送'!$B$32:$I$37,4,0)*1000+IF(AND(MOD(H4231,30)&lt;0.5,MOD(H4231,30)&gt;=0.02),H4231,0)*VLOOKUP(D4231,'报价表-配送'!$B$32:$I$37,3,0)*1000+IF(AND(MOD(H4231,30)&lt;0.02),H4231,0)*VLOOKUP(D4231,'报价表-配送'!$B$32:$I$37,2,0)*1000</f>
        <v>0</v>
      </c>
      <c r="N4231" s="127">
        <f t="shared" si="479"/>
        <v>0</v>
      </c>
    </row>
    <row r="4232" spans="1:14" x14ac:dyDescent="0.25">
      <c r="A4232" s="121" t="s">
        <v>81</v>
      </c>
      <c r="B4232" s="121" t="s">
        <v>164</v>
      </c>
      <c r="C4232" s="62">
        <f>VLOOKUP(B4232,合并仓明细!$D$2:$F$74,3,0)</f>
        <v>174</v>
      </c>
      <c r="D4232" s="122" t="s">
        <v>413</v>
      </c>
      <c r="E4232" s="123">
        <v>45981</v>
      </c>
      <c r="F4232" s="121" t="s">
        <v>66</v>
      </c>
      <c r="G4232" s="121">
        <v>293.69</v>
      </c>
      <c r="H4232" s="124">
        <v>0.29369000000000001</v>
      </c>
      <c r="I4232" s="125"/>
      <c r="J4232" s="125"/>
      <c r="K4232" s="125"/>
      <c r="L4232" s="37">
        <f>IF(H4232&gt;30,QUOTIENT(H4232,30)*VLOOKUP(D4232,'报价表-配送'!$B$32:$I$37,8,0),0)+IF(AND(MOD(H4232,30)&gt;18,MOD(H4232,30)&lt;=30),1,0)*VLOOKUP(D4232,'报价表-配送'!$B$32:$I$37,8,0)+IF(AND(MOD(H4232,30)&gt;8,MOD(H4232,30)&lt;=18),1*VLOOKUP(D4232,'报价表-配送'!$B$32:$I$37,7,0),0)+IF(AND(MOD(H4232,30)&lt;=8,MOD(H4232,30)&gt;2.5),1,0)*VLOOKUP(D4232,'报价表-配送'!$B$32:$I$37,6,0)+IF(AND(MOD(H4232,30)&lt;=2.5,MOD(H4232,30)&gt;=1.5),1,0)*VLOOKUP(D4232,'报价表-配送'!$B$32:$I$37,5,0)</f>
        <v>0</v>
      </c>
      <c r="M4232" s="39">
        <f>IF(AND(MOD(H4232,30)&lt;1.5,MOD(H4232,30)&gt;=0.5),H4232,0)*VLOOKUP(D4232,'报价表-配送'!$B$32:$I$37,4,0)*1000+IF(AND(MOD(H4232,30)&lt;0.5,MOD(H4232,30)&gt;=0.02),H4232,0)*VLOOKUP(D4232,'报价表-配送'!$B$32:$I$37,3,0)*1000+IF(AND(MOD(H4232,30)&lt;0.02),H4232,0)*VLOOKUP(D4232,'报价表-配送'!$B$32:$I$37,2,0)*1000</f>
        <v>0</v>
      </c>
      <c r="N4232" s="127">
        <f t="shared" si="479"/>
        <v>0</v>
      </c>
    </row>
    <row r="4233" spans="1:14" x14ac:dyDescent="0.25">
      <c r="A4233" s="121" t="s">
        <v>81</v>
      </c>
      <c r="B4233" s="121" t="s">
        <v>164</v>
      </c>
      <c r="C4233" s="62">
        <f>VLOOKUP(B4233,合并仓明细!$D$2:$F$74,3,0)</f>
        <v>174</v>
      </c>
      <c r="D4233" s="122" t="s">
        <v>413</v>
      </c>
      <c r="E4233" s="123">
        <v>45987</v>
      </c>
      <c r="F4233" s="121" t="s">
        <v>66</v>
      </c>
      <c r="G4233" s="121">
        <v>29</v>
      </c>
      <c r="H4233" s="124">
        <v>2.9000000000000001E-2</v>
      </c>
      <c r="I4233" s="125"/>
      <c r="J4233" s="125"/>
      <c r="K4233" s="125"/>
      <c r="L4233" s="37">
        <f>IF(H4233&gt;30,QUOTIENT(H4233,30)*VLOOKUP(D4233,'报价表-配送'!$B$32:$I$37,8,0),0)+IF(AND(MOD(H4233,30)&gt;18,MOD(H4233,30)&lt;=30),1,0)*VLOOKUP(D4233,'报价表-配送'!$B$32:$I$37,8,0)+IF(AND(MOD(H4233,30)&gt;8,MOD(H4233,30)&lt;=18),1*VLOOKUP(D4233,'报价表-配送'!$B$32:$I$37,7,0),0)+IF(AND(MOD(H4233,30)&lt;=8,MOD(H4233,30)&gt;2.5),1,0)*VLOOKUP(D4233,'报价表-配送'!$B$32:$I$37,6,0)+IF(AND(MOD(H4233,30)&lt;=2.5,MOD(H4233,30)&gt;=1.5),1,0)*VLOOKUP(D4233,'报价表-配送'!$B$32:$I$37,5,0)</f>
        <v>0</v>
      </c>
      <c r="M4233" s="39">
        <f>IF(AND(MOD(H4233,30)&lt;1.5,MOD(H4233,30)&gt;=0.5),H4233,0)*VLOOKUP(D4233,'报价表-配送'!$B$32:$I$37,4,0)*1000+IF(AND(MOD(H4233,30)&lt;0.5,MOD(H4233,30)&gt;=0.02),H4233,0)*VLOOKUP(D4233,'报价表-配送'!$B$32:$I$37,3,0)*1000+IF(AND(MOD(H4233,30)&lt;0.02),H4233,0)*VLOOKUP(D4233,'报价表-配送'!$B$32:$I$37,2,0)*1000</f>
        <v>0</v>
      </c>
      <c r="N4233" s="127">
        <f t="shared" si="479"/>
        <v>0</v>
      </c>
    </row>
    <row r="4234" spans="1:14" x14ac:dyDescent="0.25">
      <c r="A4234" s="121" t="s">
        <v>81</v>
      </c>
      <c r="B4234" s="121" t="s">
        <v>164</v>
      </c>
      <c r="C4234" s="62">
        <f>VLOOKUP(B4234,合并仓明细!$D$2:$F$74,3,0)</f>
        <v>174</v>
      </c>
      <c r="D4234" s="122" t="s">
        <v>413</v>
      </c>
      <c r="E4234" s="123">
        <v>45996</v>
      </c>
      <c r="F4234" s="121" t="s">
        <v>66</v>
      </c>
      <c r="G4234" s="121">
        <v>15.85</v>
      </c>
      <c r="H4234" s="124">
        <v>1.585E-2</v>
      </c>
      <c r="I4234" s="125"/>
      <c r="J4234" s="125"/>
      <c r="K4234" s="125"/>
      <c r="L4234" s="37">
        <f>IF(H4234&gt;30,QUOTIENT(H4234,30)*VLOOKUP(D4234,'报价表-配送'!$B$32:$I$37,8,0),0)+IF(AND(MOD(H4234,30)&gt;18,MOD(H4234,30)&lt;=30),1,0)*VLOOKUP(D4234,'报价表-配送'!$B$32:$I$37,8,0)+IF(AND(MOD(H4234,30)&gt;8,MOD(H4234,30)&lt;=18),1*VLOOKUP(D4234,'报价表-配送'!$B$32:$I$37,7,0),0)+IF(AND(MOD(H4234,30)&lt;=8,MOD(H4234,30)&gt;2.5),1,0)*VLOOKUP(D4234,'报价表-配送'!$B$32:$I$37,6,0)+IF(AND(MOD(H4234,30)&lt;=2.5,MOD(H4234,30)&gt;=1.5),1,0)*VLOOKUP(D4234,'报价表-配送'!$B$32:$I$37,5,0)</f>
        <v>0</v>
      </c>
      <c r="M4234" s="39">
        <f>IF(AND(MOD(H4234,30)&lt;1.5,MOD(H4234,30)&gt;=0.5),H4234,0)*VLOOKUP(D4234,'报价表-配送'!$B$32:$I$37,4,0)*1000+IF(AND(MOD(H4234,30)&lt;0.5,MOD(H4234,30)&gt;=0.02),H4234,0)*VLOOKUP(D4234,'报价表-配送'!$B$32:$I$37,3,0)*1000+IF(AND(MOD(H4234,30)&lt;0.02),H4234,0)*VLOOKUP(D4234,'报价表-配送'!$B$32:$I$37,2,0)*1000</f>
        <v>0</v>
      </c>
      <c r="N4234" s="127">
        <f t="shared" si="479"/>
        <v>0</v>
      </c>
    </row>
    <row r="4235" spans="1:14" x14ac:dyDescent="0.25">
      <c r="A4235" s="121" t="s">
        <v>81</v>
      </c>
      <c r="B4235" s="121" t="s">
        <v>164</v>
      </c>
      <c r="C4235" s="62">
        <f>VLOOKUP(B4235,合并仓明细!$D$2:$F$74,3,0)</f>
        <v>174</v>
      </c>
      <c r="D4235" s="122" t="s">
        <v>413</v>
      </c>
      <c r="E4235" s="123">
        <v>46010</v>
      </c>
      <c r="F4235" s="121" t="s">
        <v>66</v>
      </c>
      <c r="G4235" s="121">
        <v>14.280000000000001</v>
      </c>
      <c r="H4235" s="124">
        <v>1.4280000000000001E-2</v>
      </c>
      <c r="I4235" s="125"/>
      <c r="J4235" s="125"/>
      <c r="K4235" s="125"/>
      <c r="L4235" s="37">
        <f>IF(H4235&gt;30,QUOTIENT(H4235,30)*VLOOKUP(D4235,'报价表-配送'!$B$32:$I$37,8,0),0)+IF(AND(MOD(H4235,30)&gt;18,MOD(H4235,30)&lt;=30),1,0)*VLOOKUP(D4235,'报价表-配送'!$B$32:$I$37,8,0)+IF(AND(MOD(H4235,30)&gt;8,MOD(H4235,30)&lt;=18),1*VLOOKUP(D4235,'报价表-配送'!$B$32:$I$37,7,0),0)+IF(AND(MOD(H4235,30)&lt;=8,MOD(H4235,30)&gt;2.5),1,0)*VLOOKUP(D4235,'报价表-配送'!$B$32:$I$37,6,0)+IF(AND(MOD(H4235,30)&lt;=2.5,MOD(H4235,30)&gt;=1.5),1,0)*VLOOKUP(D4235,'报价表-配送'!$B$32:$I$37,5,0)</f>
        <v>0</v>
      </c>
      <c r="M4235" s="39">
        <f>IF(AND(MOD(H4235,30)&lt;1.5,MOD(H4235,30)&gt;=0.5),H4235,0)*VLOOKUP(D4235,'报价表-配送'!$B$32:$I$37,4,0)*1000+IF(AND(MOD(H4235,30)&lt;0.5,MOD(H4235,30)&gt;=0.02),H4235,0)*VLOOKUP(D4235,'报价表-配送'!$B$32:$I$37,3,0)*1000+IF(AND(MOD(H4235,30)&lt;0.02),H4235,0)*VLOOKUP(D4235,'报价表-配送'!$B$32:$I$37,2,0)*1000</f>
        <v>0</v>
      </c>
      <c r="N4235" s="127">
        <f t="shared" si="479"/>
        <v>0</v>
      </c>
    </row>
    <row r="4236" spans="1:14" x14ac:dyDescent="0.25">
      <c r="A4236" s="121" t="s">
        <v>99</v>
      </c>
      <c r="B4236" s="121" t="s">
        <v>101</v>
      </c>
      <c r="C4236" s="62">
        <f>VLOOKUP(B4236,合并仓明细!$D$2:$F$74,3,0)</f>
        <v>93</v>
      </c>
      <c r="D4236" s="122" t="s">
        <v>393</v>
      </c>
      <c r="E4236" s="123">
        <v>45939</v>
      </c>
      <c r="F4236" s="121" t="s">
        <v>68</v>
      </c>
      <c r="G4236" s="121">
        <v>76.63</v>
      </c>
      <c r="H4236" s="124">
        <v>0.10440000000000001</v>
      </c>
      <c r="I4236" s="46">
        <f>ROUNDUP(H4236/30,0)*VLOOKUP(D4236,'报价表-配送'!$B$2:$I$6,8,0)</f>
        <v>0</v>
      </c>
      <c r="J4236" s="125"/>
      <c r="K4236" s="125"/>
      <c r="L4236" s="121"/>
      <c r="M4236" s="126"/>
      <c r="N4236" s="127">
        <f t="shared" si="479"/>
        <v>0</v>
      </c>
    </row>
    <row r="4237" spans="1:14" x14ac:dyDescent="0.25">
      <c r="A4237" s="121" t="s">
        <v>99</v>
      </c>
      <c r="B4237" s="121" t="s">
        <v>101</v>
      </c>
      <c r="C4237" s="62">
        <f>VLOOKUP(B4237,合并仓明细!$D$2:$F$74,3,0)</f>
        <v>93</v>
      </c>
      <c r="D4237" s="122" t="s">
        <v>393</v>
      </c>
      <c r="E4237" s="123">
        <v>45939</v>
      </c>
      <c r="F4237" s="121" t="s">
        <v>66</v>
      </c>
      <c r="G4237" s="121">
        <v>27.770000000000003</v>
      </c>
      <c r="H4237" s="124"/>
      <c r="I4237" s="125"/>
      <c r="J4237" s="125"/>
      <c r="K4237" s="125"/>
      <c r="L4237" s="121"/>
      <c r="M4237" s="126"/>
      <c r="N4237" s="121"/>
    </row>
    <row r="4238" spans="1:14" x14ac:dyDescent="0.25">
      <c r="A4238" s="121" t="s">
        <v>99</v>
      </c>
      <c r="B4238" s="121" t="s">
        <v>101</v>
      </c>
      <c r="C4238" s="62">
        <f>VLOOKUP(B4238,合并仓明细!$D$2:$F$74,3,0)</f>
        <v>93</v>
      </c>
      <c r="D4238" s="122" t="s">
        <v>393</v>
      </c>
      <c r="E4238" s="123">
        <v>45940</v>
      </c>
      <c r="F4238" s="121" t="s">
        <v>67</v>
      </c>
      <c r="G4238" s="121">
        <v>2782.58</v>
      </c>
      <c r="H4238" s="124">
        <v>3.0787900000000001</v>
      </c>
      <c r="I4238" s="38">
        <f>IF(H4238&gt;30,QUOTIENT(H4238,30)*VLOOKUP(D4238,'报价表-配送'!$B$2:$I$6,8,0),0)+IF(AND(MOD(H4238,30)&gt;18,MOD(H4238,30)&lt;=30),1,0)*VLOOKUP(D4238,'报价表-配送'!$B$2:$I$6,8,0)</f>
        <v>0</v>
      </c>
      <c r="J4238" s="38">
        <f>IF(AND(MOD(H4238,30)&gt;8,MOD(H4238,30)&lt;=18),1*VLOOKUP(D4238,'报价表-配送'!$B$2:$I$6,7,0),0)</f>
        <v>0</v>
      </c>
      <c r="K4238" s="38">
        <f>IF(AND(MOD(H4238,30)&lt;=8,MOD(H4238,30)&gt;0),1,0)*VLOOKUP(D4238,'报价表-配送'!$B$2:$I$6,6,0)</f>
        <v>0</v>
      </c>
      <c r="L4238" s="121"/>
      <c r="M4238" s="126"/>
      <c r="N4238" s="127">
        <f t="shared" ref="N4238" si="480">SUM(I4238:L4238)</f>
        <v>0</v>
      </c>
    </row>
    <row r="4239" spans="1:14" x14ac:dyDescent="0.25">
      <c r="A4239" s="121" t="s">
        <v>99</v>
      </c>
      <c r="B4239" s="121" t="s">
        <v>101</v>
      </c>
      <c r="C4239" s="62">
        <f>VLOOKUP(B4239,合并仓明细!$D$2:$F$74,3,0)</f>
        <v>93</v>
      </c>
      <c r="D4239" s="122" t="s">
        <v>393</v>
      </c>
      <c r="E4239" s="123">
        <v>45940</v>
      </c>
      <c r="F4239" s="121" t="s">
        <v>66</v>
      </c>
      <c r="G4239" s="121">
        <v>296.20999999999998</v>
      </c>
      <c r="H4239" s="124"/>
      <c r="I4239" s="125"/>
      <c r="J4239" s="125"/>
      <c r="K4239" s="125"/>
      <c r="L4239" s="121"/>
      <c r="M4239" s="126"/>
      <c r="N4239" s="121"/>
    </row>
    <row r="4240" spans="1:14" x14ac:dyDescent="0.25">
      <c r="A4240" s="121" t="s">
        <v>99</v>
      </c>
      <c r="B4240" s="121" t="s">
        <v>101</v>
      </c>
      <c r="C4240" s="62">
        <f>VLOOKUP(B4240,合并仓明细!$D$2:$F$74,3,0)</f>
        <v>93</v>
      </c>
      <c r="D4240" s="122" t="s">
        <v>393</v>
      </c>
      <c r="E4240" s="123">
        <v>45941</v>
      </c>
      <c r="F4240" s="121" t="s">
        <v>66</v>
      </c>
      <c r="G4240" s="121">
        <v>222.18</v>
      </c>
      <c r="H4240" s="124">
        <v>0.22218000000000002</v>
      </c>
      <c r="I4240" s="125"/>
      <c r="J4240" s="125"/>
      <c r="K4240" s="125"/>
      <c r="L4240" s="37">
        <f>IF(H4240&gt;30,QUOTIENT(H4240,30)*VLOOKUP(D4240,'报价表-配送'!$B$2:$I$6,8,0),0)+IF(AND(MOD(H4240,30)&gt;18,MOD(H4240,30)&lt;=30),1,0)*VLOOKUP(D4240,'报价表-配送'!$B$2:$I$6,8,0)+IF(AND(MOD(H4240,30)&gt;8,MOD(H4240,30)&lt;=18),1*VLOOKUP(D4240,'报价表-配送'!$B$2:$I$6,7,0),0)+IF(AND(MOD(H4240,30)&lt;=8,MOD(H4240,30)&gt;2.5),1,0)*VLOOKUP(D4240,'报价表-配送'!$B$2:$I$6,6,0)+IF(AND(MOD(H4240,30)&lt;=2.5,MOD(H4240,30)&gt;=1.5),1,0)*VLOOKUP(D4240,'报价表-配送'!$B$2:$I$6,5,0)</f>
        <v>0</v>
      </c>
      <c r="M4240" s="39">
        <f>IF(AND(MOD(H4240,30)&lt;1.5,MOD(H4240,30)&gt;=0.5),H4240,0)*VLOOKUP(D4240,'报价表-配送'!$B$2:$I$6,4,0)*1000+IF(AND(MOD(H4240,30)&lt;0.5,MOD(H4240,30)&gt;=0.02),H4240,0)*VLOOKUP(D4240,'报价表-配送'!$B$2:$I$6,3,0)*1000+IF(AND(MOD(H4240,30)&lt;0.02),H4240,0)*VLOOKUP(D4240,'报价表-配送'!$B$2:$I$6,2,0)*1000</f>
        <v>0</v>
      </c>
      <c r="N4240" s="127">
        <f t="shared" ref="N4240:N4242" si="481">SUM(I4240:L4240)</f>
        <v>0</v>
      </c>
    </row>
    <row r="4241" spans="1:14" x14ac:dyDescent="0.25">
      <c r="A4241" s="121" t="s">
        <v>99</v>
      </c>
      <c r="B4241" s="121" t="s">
        <v>101</v>
      </c>
      <c r="C4241" s="62">
        <f>VLOOKUP(B4241,合并仓明细!$D$2:$F$74,3,0)</f>
        <v>93</v>
      </c>
      <c r="D4241" s="122" t="s">
        <v>393</v>
      </c>
      <c r="E4241" s="123">
        <v>45943</v>
      </c>
      <c r="F4241" s="121" t="s">
        <v>66</v>
      </c>
      <c r="G4241" s="121">
        <v>101.2</v>
      </c>
      <c r="H4241" s="124">
        <v>0.1012</v>
      </c>
      <c r="I4241" s="125"/>
      <c r="J4241" s="125"/>
      <c r="K4241" s="125"/>
      <c r="L4241" s="37">
        <f>IF(H4241&gt;30,QUOTIENT(H4241,30)*VLOOKUP(D4241,'报价表-配送'!$B$2:$I$6,8,0),0)+IF(AND(MOD(H4241,30)&gt;18,MOD(H4241,30)&lt;=30),1,0)*VLOOKUP(D4241,'报价表-配送'!$B$2:$I$6,8,0)+IF(AND(MOD(H4241,30)&gt;8,MOD(H4241,30)&lt;=18),1*VLOOKUP(D4241,'报价表-配送'!$B$2:$I$6,7,0),0)+IF(AND(MOD(H4241,30)&lt;=8,MOD(H4241,30)&gt;2.5),1,0)*VLOOKUP(D4241,'报价表-配送'!$B$2:$I$6,6,0)+IF(AND(MOD(H4241,30)&lt;=2.5,MOD(H4241,30)&gt;=1.5),1,0)*VLOOKUP(D4241,'报价表-配送'!$B$2:$I$6,5,0)</f>
        <v>0</v>
      </c>
      <c r="M4241" s="39">
        <f>IF(AND(MOD(H4241,30)&lt;1.5,MOD(H4241,30)&gt;=0.5),H4241,0)*VLOOKUP(D4241,'报价表-配送'!$B$2:$I$6,4,0)*1000+IF(AND(MOD(H4241,30)&lt;0.5,MOD(H4241,30)&gt;=0.02),H4241,0)*VLOOKUP(D4241,'报价表-配送'!$B$2:$I$6,3,0)*1000+IF(AND(MOD(H4241,30)&lt;0.02),H4241,0)*VLOOKUP(D4241,'报价表-配送'!$B$2:$I$6,2,0)*1000</f>
        <v>0</v>
      </c>
      <c r="N4241" s="127">
        <f t="shared" si="481"/>
        <v>0</v>
      </c>
    </row>
    <row r="4242" spans="1:14" x14ac:dyDescent="0.25">
      <c r="A4242" s="121" t="s">
        <v>99</v>
      </c>
      <c r="B4242" s="121" t="s">
        <v>101</v>
      </c>
      <c r="C4242" s="62">
        <f>VLOOKUP(B4242,合并仓明细!$D$2:$F$74,3,0)</f>
        <v>93</v>
      </c>
      <c r="D4242" s="122" t="s">
        <v>393</v>
      </c>
      <c r="E4242" s="123">
        <v>45944</v>
      </c>
      <c r="F4242" s="121" t="s">
        <v>68</v>
      </c>
      <c r="G4242" s="121">
        <v>581.73</v>
      </c>
      <c r="H4242" s="124">
        <v>9.8502299999999998</v>
      </c>
      <c r="I4242" s="46">
        <f>ROUNDUP(H4242/30,0)*VLOOKUP(D4242,'报价表-配送'!$B$2:$I$6,8,0)</f>
        <v>0</v>
      </c>
      <c r="J4242" s="125"/>
      <c r="K4242" s="125"/>
      <c r="L4242" s="121"/>
      <c r="M4242" s="126"/>
      <c r="N4242" s="127">
        <f t="shared" si="481"/>
        <v>0</v>
      </c>
    </row>
    <row r="4243" spans="1:14" x14ac:dyDescent="0.25">
      <c r="A4243" s="121" t="s">
        <v>99</v>
      </c>
      <c r="B4243" s="121" t="s">
        <v>101</v>
      </c>
      <c r="C4243" s="62">
        <f>VLOOKUP(B4243,合并仓明细!$D$2:$F$74,3,0)</f>
        <v>93</v>
      </c>
      <c r="D4243" s="122" t="s">
        <v>393</v>
      </c>
      <c r="E4243" s="123">
        <v>45944</v>
      </c>
      <c r="F4243" s="121" t="s">
        <v>67</v>
      </c>
      <c r="G4243" s="121">
        <v>8603.69</v>
      </c>
      <c r="H4243" s="124"/>
      <c r="I4243" s="125"/>
      <c r="J4243" s="125"/>
      <c r="K4243" s="125"/>
      <c r="L4243" s="121"/>
      <c r="M4243" s="126"/>
      <c r="N4243" s="121"/>
    </row>
    <row r="4244" spans="1:14" x14ac:dyDescent="0.25">
      <c r="A4244" s="121" t="s">
        <v>99</v>
      </c>
      <c r="B4244" s="121" t="s">
        <v>101</v>
      </c>
      <c r="C4244" s="62">
        <f>VLOOKUP(B4244,合并仓明细!$D$2:$F$74,3,0)</f>
        <v>93</v>
      </c>
      <c r="D4244" s="122" t="s">
        <v>393</v>
      </c>
      <c r="E4244" s="123">
        <v>45944</v>
      </c>
      <c r="F4244" s="121" t="s">
        <v>66</v>
      </c>
      <c r="G4244" s="121">
        <v>664.81000000000006</v>
      </c>
      <c r="H4244" s="124"/>
      <c r="I4244" s="125"/>
      <c r="J4244" s="125"/>
      <c r="K4244" s="125"/>
      <c r="L4244" s="121"/>
      <c r="M4244" s="126"/>
      <c r="N4244" s="121"/>
    </row>
    <row r="4245" spans="1:14" x14ac:dyDescent="0.25">
      <c r="A4245" s="121" t="s">
        <v>99</v>
      </c>
      <c r="B4245" s="121" t="s">
        <v>101</v>
      </c>
      <c r="C4245" s="62">
        <f>VLOOKUP(B4245,合并仓明细!$D$2:$F$74,3,0)</f>
        <v>93</v>
      </c>
      <c r="D4245" s="122" t="s">
        <v>393</v>
      </c>
      <c r="E4245" s="123">
        <v>45945</v>
      </c>
      <c r="F4245" s="121" t="s">
        <v>67</v>
      </c>
      <c r="G4245" s="121">
        <v>2707.28</v>
      </c>
      <c r="H4245" s="124">
        <v>4.1604400000000004</v>
      </c>
      <c r="I4245" s="38">
        <f>IF(H4245&gt;30,QUOTIENT(H4245,30)*VLOOKUP(D4245,'报价表-配送'!$B$2:$I$6,8,0),0)+IF(AND(MOD(H4245,30)&gt;18,MOD(H4245,30)&lt;=30),1,0)*VLOOKUP(D4245,'报价表-配送'!$B$2:$I$6,8,0)</f>
        <v>0</v>
      </c>
      <c r="J4245" s="38">
        <f>IF(AND(MOD(H4245,30)&gt;8,MOD(H4245,30)&lt;=18),1*VLOOKUP(D4245,'报价表-配送'!$B$2:$I$6,7,0),0)</f>
        <v>0</v>
      </c>
      <c r="K4245" s="38">
        <f>IF(AND(MOD(H4245,30)&lt;=8,MOD(H4245,30)&gt;0),1,0)*VLOOKUP(D4245,'报价表-配送'!$B$2:$I$6,6,0)</f>
        <v>0</v>
      </c>
      <c r="L4245" s="121"/>
      <c r="M4245" s="126"/>
      <c r="N4245" s="127">
        <f t="shared" ref="N4245" si="482">SUM(I4245:L4245)</f>
        <v>0</v>
      </c>
    </row>
    <row r="4246" spans="1:14" x14ac:dyDescent="0.25">
      <c r="A4246" s="121" t="s">
        <v>99</v>
      </c>
      <c r="B4246" s="121" t="s">
        <v>101</v>
      </c>
      <c r="C4246" s="62">
        <f>VLOOKUP(B4246,合并仓明细!$D$2:$F$74,3,0)</f>
        <v>93</v>
      </c>
      <c r="D4246" s="122" t="s">
        <v>393</v>
      </c>
      <c r="E4246" s="123">
        <v>45945</v>
      </c>
      <c r="F4246" s="121" t="s">
        <v>66</v>
      </c>
      <c r="G4246" s="121">
        <v>1453.1600000000003</v>
      </c>
      <c r="H4246" s="124"/>
      <c r="I4246" s="125"/>
      <c r="J4246" s="125"/>
      <c r="K4246" s="125"/>
      <c r="L4246" s="121"/>
      <c r="M4246" s="126"/>
      <c r="N4246" s="121"/>
    </row>
    <row r="4247" spans="1:14" x14ac:dyDescent="0.25">
      <c r="A4247" s="121" t="s">
        <v>99</v>
      </c>
      <c r="B4247" s="121" t="s">
        <v>101</v>
      </c>
      <c r="C4247" s="62">
        <f>VLOOKUP(B4247,合并仓明细!$D$2:$F$74,3,0)</f>
        <v>93</v>
      </c>
      <c r="D4247" s="122" t="s">
        <v>393</v>
      </c>
      <c r="E4247" s="123">
        <v>45946</v>
      </c>
      <c r="F4247" s="121" t="s">
        <v>67</v>
      </c>
      <c r="G4247" s="121">
        <v>4066.9300000000003</v>
      </c>
      <c r="H4247" s="124">
        <v>4.4135</v>
      </c>
      <c r="I4247" s="38">
        <f>IF(H4247&gt;30,QUOTIENT(H4247,30)*VLOOKUP(D4247,'报价表-配送'!$B$2:$I$6,8,0),0)+IF(AND(MOD(H4247,30)&gt;18,MOD(H4247,30)&lt;=30),1,0)*VLOOKUP(D4247,'报价表-配送'!$B$2:$I$6,8,0)</f>
        <v>0</v>
      </c>
      <c r="J4247" s="38">
        <f>IF(AND(MOD(H4247,30)&gt;8,MOD(H4247,30)&lt;=18),1*VLOOKUP(D4247,'报价表-配送'!$B$2:$I$6,7,0),0)</f>
        <v>0</v>
      </c>
      <c r="K4247" s="38">
        <f>IF(AND(MOD(H4247,30)&lt;=8,MOD(H4247,30)&gt;0),1,0)*VLOOKUP(D4247,'报价表-配送'!$B$2:$I$6,6,0)</f>
        <v>0</v>
      </c>
      <c r="L4247" s="121"/>
      <c r="M4247" s="126"/>
      <c r="N4247" s="127">
        <f t="shared" ref="N4247" si="483">SUM(I4247:L4247)</f>
        <v>0</v>
      </c>
    </row>
    <row r="4248" spans="1:14" x14ac:dyDescent="0.25">
      <c r="A4248" s="121" t="s">
        <v>99</v>
      </c>
      <c r="B4248" s="121" t="s">
        <v>101</v>
      </c>
      <c r="C4248" s="62">
        <f>VLOOKUP(B4248,合并仓明细!$D$2:$F$74,3,0)</f>
        <v>93</v>
      </c>
      <c r="D4248" s="122" t="s">
        <v>393</v>
      </c>
      <c r="E4248" s="123">
        <v>45946</v>
      </c>
      <c r="F4248" s="121" t="s">
        <v>66</v>
      </c>
      <c r="G4248" s="121">
        <v>346.57000000000011</v>
      </c>
      <c r="H4248" s="124"/>
      <c r="I4248" s="125"/>
      <c r="J4248" s="125"/>
      <c r="K4248" s="125"/>
      <c r="L4248" s="121"/>
      <c r="M4248" s="126"/>
      <c r="N4248" s="121"/>
    </row>
    <row r="4249" spans="1:14" x14ac:dyDescent="0.25">
      <c r="A4249" s="121" t="s">
        <v>99</v>
      </c>
      <c r="B4249" s="121" t="s">
        <v>101</v>
      </c>
      <c r="C4249" s="62">
        <f>VLOOKUP(B4249,合并仓明细!$D$2:$F$74,3,0)</f>
        <v>93</v>
      </c>
      <c r="D4249" s="122" t="s">
        <v>393</v>
      </c>
      <c r="E4249" s="123">
        <v>45947</v>
      </c>
      <c r="F4249" s="121" t="s">
        <v>67</v>
      </c>
      <c r="G4249" s="121">
        <v>1585.4</v>
      </c>
      <c r="H4249" s="124">
        <v>2.4938500000000006</v>
      </c>
      <c r="I4249" s="38">
        <f>IF(H4249&gt;30,QUOTIENT(H4249,30)*VLOOKUP(D4249,'报价表-配送'!$B$2:$I$6,8,0),0)+IF(AND(MOD(H4249,30)&gt;18,MOD(H4249,30)&lt;=30),1,0)*VLOOKUP(D4249,'报价表-配送'!$B$2:$I$6,8,0)</f>
        <v>0</v>
      </c>
      <c r="J4249" s="38">
        <f>IF(AND(MOD(H4249,30)&gt;8,MOD(H4249,30)&lt;=18),1*VLOOKUP(D4249,'报价表-配送'!$B$2:$I$6,7,0),0)</f>
        <v>0</v>
      </c>
      <c r="K4249" s="38">
        <f>IF(AND(MOD(H4249,30)&lt;=8,MOD(H4249,30)&gt;0),1,0)*VLOOKUP(D4249,'报价表-配送'!$B$2:$I$6,6,0)</f>
        <v>0</v>
      </c>
      <c r="L4249" s="121"/>
      <c r="M4249" s="126"/>
      <c r="N4249" s="127">
        <f t="shared" ref="N4249" si="484">SUM(I4249:L4249)</f>
        <v>0</v>
      </c>
    </row>
    <row r="4250" spans="1:14" x14ac:dyDescent="0.25">
      <c r="A4250" s="121" t="s">
        <v>99</v>
      </c>
      <c r="B4250" s="121" t="s">
        <v>101</v>
      </c>
      <c r="C4250" s="62">
        <f>VLOOKUP(B4250,合并仓明细!$D$2:$F$74,3,0)</f>
        <v>93</v>
      </c>
      <c r="D4250" s="122" t="s">
        <v>393</v>
      </c>
      <c r="E4250" s="123">
        <v>45947</v>
      </c>
      <c r="F4250" s="121" t="s">
        <v>66</v>
      </c>
      <c r="G4250" s="121">
        <v>908.45000000000016</v>
      </c>
      <c r="H4250" s="124"/>
      <c r="I4250" s="125"/>
      <c r="J4250" s="125"/>
      <c r="K4250" s="125"/>
      <c r="L4250" s="121"/>
      <c r="M4250" s="126"/>
      <c r="N4250" s="121"/>
    </row>
    <row r="4251" spans="1:14" x14ac:dyDescent="0.25">
      <c r="A4251" s="121" t="s">
        <v>99</v>
      </c>
      <c r="B4251" s="121" t="s">
        <v>101</v>
      </c>
      <c r="C4251" s="62">
        <f>VLOOKUP(B4251,合并仓明细!$D$2:$F$74,3,0)</f>
        <v>93</v>
      </c>
      <c r="D4251" s="122" t="s">
        <v>393</v>
      </c>
      <c r="E4251" s="123">
        <v>45950</v>
      </c>
      <c r="F4251" s="121" t="s">
        <v>68</v>
      </c>
      <c r="G4251" s="121">
        <v>844.12</v>
      </c>
      <c r="H4251" s="124">
        <v>1.9750699999999999</v>
      </c>
      <c r="I4251" s="46">
        <f>ROUNDUP(H4251/30,0)*VLOOKUP(D4251,'报价表-配送'!$B$2:$I$6,8,0)</f>
        <v>0</v>
      </c>
      <c r="J4251" s="125"/>
      <c r="K4251" s="125"/>
      <c r="L4251" s="121"/>
      <c r="M4251" s="126"/>
      <c r="N4251" s="127">
        <f t="shared" ref="N4251" si="485">SUM(I4251:L4251)</f>
        <v>0</v>
      </c>
    </row>
    <row r="4252" spans="1:14" x14ac:dyDescent="0.25">
      <c r="A4252" s="121" t="s">
        <v>99</v>
      </c>
      <c r="B4252" s="121" t="s">
        <v>101</v>
      </c>
      <c r="C4252" s="62">
        <f>VLOOKUP(B4252,合并仓明细!$D$2:$F$74,3,0)</f>
        <v>93</v>
      </c>
      <c r="D4252" s="122" t="s">
        <v>393</v>
      </c>
      <c r="E4252" s="123">
        <v>45950</v>
      </c>
      <c r="F4252" s="121" t="s">
        <v>67</v>
      </c>
      <c r="G4252" s="121">
        <v>1023.77</v>
      </c>
      <c r="H4252" s="124"/>
      <c r="I4252" s="125"/>
      <c r="J4252" s="125"/>
      <c r="K4252" s="125"/>
      <c r="L4252" s="121"/>
      <c r="M4252" s="126"/>
      <c r="N4252" s="121"/>
    </row>
    <row r="4253" spans="1:14" x14ac:dyDescent="0.25">
      <c r="A4253" s="121" t="s">
        <v>99</v>
      </c>
      <c r="B4253" s="121" t="s">
        <v>101</v>
      </c>
      <c r="C4253" s="62">
        <f>VLOOKUP(B4253,合并仓明细!$D$2:$F$74,3,0)</f>
        <v>93</v>
      </c>
      <c r="D4253" s="122" t="s">
        <v>393</v>
      </c>
      <c r="E4253" s="123">
        <v>45950</v>
      </c>
      <c r="F4253" s="121" t="s">
        <v>66</v>
      </c>
      <c r="G4253" s="121">
        <v>107.18</v>
      </c>
      <c r="H4253" s="124"/>
      <c r="I4253" s="125"/>
      <c r="J4253" s="125"/>
      <c r="K4253" s="125"/>
      <c r="L4253" s="121"/>
      <c r="M4253" s="126"/>
      <c r="N4253" s="121"/>
    </row>
    <row r="4254" spans="1:14" x14ac:dyDescent="0.25">
      <c r="A4254" s="121" t="s">
        <v>99</v>
      </c>
      <c r="B4254" s="121" t="s">
        <v>101</v>
      </c>
      <c r="C4254" s="62">
        <f>VLOOKUP(B4254,合并仓明细!$D$2:$F$74,3,0)</f>
        <v>93</v>
      </c>
      <c r="D4254" s="122" t="s">
        <v>393</v>
      </c>
      <c r="E4254" s="123">
        <v>45951</v>
      </c>
      <c r="F4254" s="121" t="s">
        <v>67</v>
      </c>
      <c r="G4254" s="121">
        <v>1921.1100000000001</v>
      </c>
      <c r="H4254" s="124">
        <v>4.783570000000001</v>
      </c>
      <c r="I4254" s="38">
        <f>IF(H4254&gt;30,QUOTIENT(H4254,30)*VLOOKUP(D4254,'报价表-配送'!$B$2:$I$6,8,0),0)+IF(AND(MOD(H4254,30)&gt;18,MOD(H4254,30)&lt;=30),1,0)*VLOOKUP(D4254,'报价表-配送'!$B$2:$I$6,8,0)</f>
        <v>0</v>
      </c>
      <c r="J4254" s="38">
        <f>IF(AND(MOD(H4254,30)&gt;8,MOD(H4254,30)&lt;=18),1*VLOOKUP(D4254,'报价表-配送'!$B$2:$I$6,7,0),0)</f>
        <v>0</v>
      </c>
      <c r="K4254" s="38">
        <f>IF(AND(MOD(H4254,30)&lt;=8,MOD(H4254,30)&gt;0),1,0)*VLOOKUP(D4254,'报价表-配送'!$B$2:$I$6,6,0)</f>
        <v>0</v>
      </c>
      <c r="L4254" s="121"/>
      <c r="M4254" s="126"/>
      <c r="N4254" s="127">
        <f t="shared" ref="N4254" si="486">SUM(I4254:L4254)</f>
        <v>0</v>
      </c>
    </row>
    <row r="4255" spans="1:14" x14ac:dyDescent="0.25">
      <c r="A4255" s="121" t="s">
        <v>99</v>
      </c>
      <c r="B4255" s="121" t="s">
        <v>101</v>
      </c>
      <c r="C4255" s="62">
        <f>VLOOKUP(B4255,合并仓明细!$D$2:$F$74,3,0)</f>
        <v>93</v>
      </c>
      <c r="D4255" s="122" t="s">
        <v>393</v>
      </c>
      <c r="E4255" s="123">
        <v>45951</v>
      </c>
      <c r="F4255" s="121" t="s">
        <v>66</v>
      </c>
      <c r="G4255" s="121">
        <v>2862.4600000000005</v>
      </c>
      <c r="H4255" s="124"/>
      <c r="I4255" s="125"/>
      <c r="J4255" s="125"/>
      <c r="K4255" s="125"/>
      <c r="L4255" s="121"/>
      <c r="M4255" s="126"/>
      <c r="N4255" s="121"/>
    </row>
    <row r="4256" spans="1:14" x14ac:dyDescent="0.25">
      <c r="A4256" s="121" t="s">
        <v>99</v>
      </c>
      <c r="B4256" s="121" t="s">
        <v>101</v>
      </c>
      <c r="C4256" s="62">
        <f>VLOOKUP(B4256,合并仓明细!$D$2:$F$74,3,0)</f>
        <v>93</v>
      </c>
      <c r="D4256" s="122" t="s">
        <v>393</v>
      </c>
      <c r="E4256" s="123">
        <v>45952</v>
      </c>
      <c r="F4256" s="121" t="s">
        <v>68</v>
      </c>
      <c r="G4256" s="121">
        <v>1518.9299999999998</v>
      </c>
      <c r="H4256" s="124">
        <v>7.1733599999999988</v>
      </c>
      <c r="I4256" s="46">
        <f>ROUNDUP(H4256/30,0)*VLOOKUP(D4256,'报价表-配送'!$B$2:$I$6,8,0)</f>
        <v>0</v>
      </c>
      <c r="J4256" s="125"/>
      <c r="K4256" s="125"/>
      <c r="L4256" s="121"/>
      <c r="M4256" s="126"/>
      <c r="N4256" s="127">
        <f t="shared" ref="N4256" si="487">SUM(I4256:L4256)</f>
        <v>0</v>
      </c>
    </row>
    <row r="4257" spans="1:14" x14ac:dyDescent="0.25">
      <c r="A4257" s="121" t="s">
        <v>99</v>
      </c>
      <c r="B4257" s="121" t="s">
        <v>101</v>
      </c>
      <c r="C4257" s="62">
        <f>VLOOKUP(B4257,合并仓明细!$D$2:$F$74,3,0)</f>
        <v>93</v>
      </c>
      <c r="D4257" s="122" t="s">
        <v>393</v>
      </c>
      <c r="E4257" s="123">
        <v>45952</v>
      </c>
      <c r="F4257" s="121" t="s">
        <v>67</v>
      </c>
      <c r="G4257" s="121">
        <v>2172.6</v>
      </c>
      <c r="H4257" s="124"/>
      <c r="I4257" s="125"/>
      <c r="J4257" s="125"/>
      <c r="K4257" s="125"/>
      <c r="L4257" s="121"/>
      <c r="M4257" s="126"/>
      <c r="N4257" s="121"/>
    </row>
    <row r="4258" spans="1:14" x14ac:dyDescent="0.25">
      <c r="A4258" s="121" t="s">
        <v>99</v>
      </c>
      <c r="B4258" s="121" t="s">
        <v>101</v>
      </c>
      <c r="C4258" s="62">
        <f>VLOOKUP(B4258,合并仓明细!$D$2:$F$74,3,0)</f>
        <v>93</v>
      </c>
      <c r="D4258" s="122" t="s">
        <v>393</v>
      </c>
      <c r="E4258" s="123">
        <v>45952</v>
      </c>
      <c r="F4258" s="121" t="s">
        <v>66</v>
      </c>
      <c r="G4258" s="121">
        <v>3481.8299999999995</v>
      </c>
      <c r="H4258" s="124"/>
      <c r="I4258" s="125"/>
      <c r="J4258" s="125"/>
      <c r="K4258" s="125"/>
      <c r="L4258" s="121"/>
      <c r="M4258" s="126"/>
      <c r="N4258" s="121"/>
    </row>
    <row r="4259" spans="1:14" x14ac:dyDescent="0.25">
      <c r="A4259" s="121" t="s">
        <v>99</v>
      </c>
      <c r="B4259" s="121" t="s">
        <v>101</v>
      </c>
      <c r="C4259" s="62">
        <f>VLOOKUP(B4259,合并仓明细!$D$2:$F$74,3,0)</f>
        <v>93</v>
      </c>
      <c r="D4259" s="122" t="s">
        <v>393</v>
      </c>
      <c r="E4259" s="123">
        <v>45953</v>
      </c>
      <c r="F4259" s="121" t="s">
        <v>68</v>
      </c>
      <c r="G4259" s="121">
        <v>6765.0300000000007</v>
      </c>
      <c r="H4259" s="124">
        <v>7.7758600000000007</v>
      </c>
      <c r="I4259" s="46">
        <f>ROUNDUP(H4259/30,0)*VLOOKUP(D4259,'报价表-配送'!$B$2:$I$6,8,0)</f>
        <v>0</v>
      </c>
      <c r="J4259" s="125"/>
      <c r="K4259" s="125"/>
      <c r="L4259" s="121"/>
      <c r="M4259" s="126"/>
      <c r="N4259" s="127">
        <f t="shared" ref="N4259" si="488">SUM(I4259:L4259)</f>
        <v>0</v>
      </c>
    </row>
    <row r="4260" spans="1:14" x14ac:dyDescent="0.25">
      <c r="A4260" s="121" t="s">
        <v>99</v>
      </c>
      <c r="B4260" s="121" t="s">
        <v>101</v>
      </c>
      <c r="C4260" s="62">
        <f>VLOOKUP(B4260,合并仓明细!$D$2:$F$74,3,0)</f>
        <v>93</v>
      </c>
      <c r="D4260" s="122" t="s">
        <v>393</v>
      </c>
      <c r="E4260" s="123">
        <v>45953</v>
      </c>
      <c r="F4260" s="121" t="s">
        <v>67</v>
      </c>
      <c r="G4260" s="121">
        <v>667.81</v>
      </c>
      <c r="H4260" s="124"/>
      <c r="I4260" s="125"/>
      <c r="J4260" s="125"/>
      <c r="K4260" s="125"/>
      <c r="L4260" s="121"/>
      <c r="M4260" s="126"/>
      <c r="N4260" s="121"/>
    </row>
    <row r="4261" spans="1:14" x14ac:dyDescent="0.25">
      <c r="A4261" s="121" t="s">
        <v>99</v>
      </c>
      <c r="B4261" s="121" t="s">
        <v>101</v>
      </c>
      <c r="C4261" s="62">
        <f>VLOOKUP(B4261,合并仓明细!$D$2:$F$74,3,0)</f>
        <v>93</v>
      </c>
      <c r="D4261" s="122" t="s">
        <v>393</v>
      </c>
      <c r="E4261" s="123">
        <v>45953</v>
      </c>
      <c r="F4261" s="121" t="s">
        <v>66</v>
      </c>
      <c r="G4261" s="121">
        <v>343.02</v>
      </c>
      <c r="H4261" s="124"/>
      <c r="I4261" s="125"/>
      <c r="J4261" s="125"/>
      <c r="K4261" s="125"/>
      <c r="L4261" s="121"/>
      <c r="M4261" s="126"/>
      <c r="N4261" s="121"/>
    </row>
    <row r="4262" spans="1:14" x14ac:dyDescent="0.25">
      <c r="A4262" s="121" t="s">
        <v>99</v>
      </c>
      <c r="B4262" s="121" t="s">
        <v>101</v>
      </c>
      <c r="C4262" s="62">
        <f>VLOOKUP(B4262,合并仓明细!$D$2:$F$74,3,0)</f>
        <v>93</v>
      </c>
      <c r="D4262" s="122" t="s">
        <v>393</v>
      </c>
      <c r="E4262" s="123">
        <v>45954</v>
      </c>
      <c r="F4262" s="121" t="s">
        <v>68</v>
      </c>
      <c r="G4262" s="121">
        <v>20183.82</v>
      </c>
      <c r="H4262" s="124">
        <v>28.014939999999999</v>
      </c>
      <c r="I4262" s="46">
        <f>ROUNDUP(H4262/30,0)*VLOOKUP(D4262,'报价表-配送'!$B$2:$I$6,8,0)</f>
        <v>0</v>
      </c>
      <c r="J4262" s="125"/>
      <c r="K4262" s="125"/>
      <c r="L4262" s="121"/>
      <c r="M4262" s="126"/>
      <c r="N4262" s="127">
        <f t="shared" ref="N4262" si="489">SUM(I4262:L4262)</f>
        <v>0</v>
      </c>
    </row>
    <row r="4263" spans="1:14" x14ac:dyDescent="0.25">
      <c r="A4263" s="121" t="s">
        <v>99</v>
      </c>
      <c r="B4263" s="121" t="s">
        <v>101</v>
      </c>
      <c r="C4263" s="62">
        <f>VLOOKUP(B4263,合并仓明细!$D$2:$F$74,3,0)</f>
        <v>93</v>
      </c>
      <c r="D4263" s="122" t="s">
        <v>393</v>
      </c>
      <c r="E4263" s="123">
        <v>45954</v>
      </c>
      <c r="F4263" s="121" t="s">
        <v>67</v>
      </c>
      <c r="G4263" s="121">
        <v>4325.25</v>
      </c>
      <c r="H4263" s="124"/>
      <c r="I4263" s="125"/>
      <c r="J4263" s="125"/>
      <c r="K4263" s="125"/>
      <c r="L4263" s="121"/>
      <c r="M4263" s="126"/>
      <c r="N4263" s="121"/>
    </row>
    <row r="4264" spans="1:14" x14ac:dyDescent="0.25">
      <c r="A4264" s="121" t="s">
        <v>99</v>
      </c>
      <c r="B4264" s="121" t="s">
        <v>101</v>
      </c>
      <c r="C4264" s="62">
        <f>VLOOKUP(B4264,合并仓明细!$D$2:$F$74,3,0)</f>
        <v>93</v>
      </c>
      <c r="D4264" s="122" t="s">
        <v>393</v>
      </c>
      <c r="E4264" s="123">
        <v>45954</v>
      </c>
      <c r="F4264" s="121" t="s">
        <v>66</v>
      </c>
      <c r="G4264" s="121">
        <v>3505.87</v>
      </c>
      <c r="H4264" s="124"/>
      <c r="I4264" s="125"/>
      <c r="J4264" s="125"/>
      <c r="K4264" s="125"/>
      <c r="L4264" s="121"/>
      <c r="M4264" s="126"/>
      <c r="N4264" s="121"/>
    </row>
    <row r="4265" spans="1:14" x14ac:dyDescent="0.25">
      <c r="A4265" s="121" t="s">
        <v>99</v>
      </c>
      <c r="B4265" s="121" t="s">
        <v>101</v>
      </c>
      <c r="C4265" s="62">
        <f>VLOOKUP(B4265,合并仓明细!$D$2:$F$74,3,0)</f>
        <v>93</v>
      </c>
      <c r="D4265" s="122" t="s">
        <v>393</v>
      </c>
      <c r="E4265" s="123">
        <v>45957</v>
      </c>
      <c r="F4265" s="121" t="s">
        <v>66</v>
      </c>
      <c r="G4265" s="121">
        <v>274.94</v>
      </c>
      <c r="H4265" s="124">
        <v>0.27494000000000002</v>
      </c>
      <c r="I4265" s="125"/>
      <c r="J4265" s="125"/>
      <c r="K4265" s="125"/>
      <c r="L4265" s="37">
        <f>IF(H4265&gt;30,QUOTIENT(H4265,30)*VLOOKUP(D4265,'报价表-配送'!$B$2:$I$6,8,0),0)+IF(AND(MOD(H4265,30)&gt;18,MOD(H4265,30)&lt;=30),1,0)*VLOOKUP(D4265,'报价表-配送'!$B$2:$I$6,8,0)+IF(AND(MOD(H4265,30)&gt;8,MOD(H4265,30)&lt;=18),1*VLOOKUP(D4265,'报价表-配送'!$B$2:$I$6,7,0),0)+IF(AND(MOD(H4265,30)&lt;=8,MOD(H4265,30)&gt;2.5),1,0)*VLOOKUP(D4265,'报价表-配送'!$B$2:$I$6,6,0)+IF(AND(MOD(H4265,30)&lt;=2.5,MOD(H4265,30)&gt;=1.5),1,0)*VLOOKUP(D4265,'报价表-配送'!$B$2:$I$6,5,0)</f>
        <v>0</v>
      </c>
      <c r="M4265" s="39">
        <f>IF(AND(MOD(H4265,30)&lt;1.5,MOD(H4265,30)&gt;=0.5),H4265,0)*VLOOKUP(D4265,'报价表-配送'!$B$2:$I$6,4,0)*1000+IF(AND(MOD(H4265,30)&lt;0.5,MOD(H4265,30)&gt;=0.02),H4265,0)*VLOOKUP(D4265,'报价表-配送'!$B$2:$I$6,3,0)*1000+IF(AND(MOD(H4265,30)&lt;0.02),H4265,0)*VLOOKUP(D4265,'报价表-配送'!$B$2:$I$6,2,0)*1000</f>
        <v>0</v>
      </c>
      <c r="N4265" s="127">
        <f t="shared" ref="N4265:N4267" si="490">SUM(I4265:L4265)</f>
        <v>0</v>
      </c>
    </row>
    <row r="4266" spans="1:14" x14ac:dyDescent="0.25">
      <c r="A4266" s="121" t="s">
        <v>99</v>
      </c>
      <c r="B4266" s="121" t="s">
        <v>101</v>
      </c>
      <c r="C4266" s="62">
        <f>VLOOKUP(B4266,合并仓明细!$D$2:$F$74,3,0)</f>
        <v>93</v>
      </c>
      <c r="D4266" s="122" t="s">
        <v>393</v>
      </c>
      <c r="E4266" s="123">
        <v>45958</v>
      </c>
      <c r="F4266" s="121" t="s">
        <v>66</v>
      </c>
      <c r="G4266" s="121">
        <v>1006.0199999999999</v>
      </c>
      <c r="H4266" s="124">
        <v>1.0060199999999999</v>
      </c>
      <c r="I4266" s="125"/>
      <c r="J4266" s="125"/>
      <c r="K4266" s="125"/>
      <c r="L4266" s="37">
        <f>IF(H4266&gt;30,QUOTIENT(H4266,30)*VLOOKUP(D4266,'报价表-配送'!$B$2:$I$6,8,0),0)+IF(AND(MOD(H4266,30)&gt;18,MOD(H4266,30)&lt;=30),1,0)*VLOOKUP(D4266,'报价表-配送'!$B$2:$I$6,8,0)+IF(AND(MOD(H4266,30)&gt;8,MOD(H4266,30)&lt;=18),1*VLOOKUP(D4266,'报价表-配送'!$B$2:$I$6,7,0),0)+IF(AND(MOD(H4266,30)&lt;=8,MOD(H4266,30)&gt;2.5),1,0)*VLOOKUP(D4266,'报价表-配送'!$B$2:$I$6,6,0)+IF(AND(MOD(H4266,30)&lt;=2.5,MOD(H4266,30)&gt;=1.5),1,0)*VLOOKUP(D4266,'报价表-配送'!$B$2:$I$6,5,0)</f>
        <v>0</v>
      </c>
      <c r="M4266" s="39">
        <f>IF(AND(MOD(H4266,30)&lt;1.5,MOD(H4266,30)&gt;=0.5),H4266,0)*VLOOKUP(D4266,'报价表-配送'!$B$2:$I$6,4,0)*1000+IF(AND(MOD(H4266,30)&lt;0.5,MOD(H4266,30)&gt;=0.02),H4266,0)*VLOOKUP(D4266,'报价表-配送'!$B$2:$I$6,3,0)*1000+IF(AND(MOD(H4266,30)&lt;0.02),H4266,0)*VLOOKUP(D4266,'报价表-配送'!$B$2:$I$6,2,0)*1000</f>
        <v>0</v>
      </c>
      <c r="N4266" s="127">
        <f t="shared" si="490"/>
        <v>0</v>
      </c>
    </row>
    <row r="4267" spans="1:14" x14ac:dyDescent="0.25">
      <c r="A4267" s="121" t="s">
        <v>99</v>
      </c>
      <c r="B4267" s="121" t="s">
        <v>101</v>
      </c>
      <c r="C4267" s="62">
        <f>VLOOKUP(B4267,合并仓明细!$D$2:$F$74,3,0)</f>
        <v>93</v>
      </c>
      <c r="D4267" s="122" t="s">
        <v>393</v>
      </c>
      <c r="E4267" s="123">
        <v>45959</v>
      </c>
      <c r="F4267" s="121" t="s">
        <v>68</v>
      </c>
      <c r="G4267" s="121">
        <v>14369.81</v>
      </c>
      <c r="H4267" s="124">
        <v>31.215720000000001</v>
      </c>
      <c r="I4267" s="46">
        <f>ROUNDUP(H4267/30,0)*VLOOKUP(D4267,'报价表-配送'!$B$2:$I$6,8,0)</f>
        <v>0</v>
      </c>
      <c r="J4267" s="125"/>
      <c r="K4267" s="125"/>
      <c r="L4267" s="121"/>
      <c r="M4267" s="126"/>
      <c r="N4267" s="127">
        <f t="shared" si="490"/>
        <v>0</v>
      </c>
    </row>
    <row r="4268" spans="1:14" x14ac:dyDescent="0.25">
      <c r="A4268" s="121" t="s">
        <v>99</v>
      </c>
      <c r="B4268" s="121" t="s">
        <v>101</v>
      </c>
      <c r="C4268" s="62">
        <f>VLOOKUP(B4268,合并仓明细!$D$2:$F$74,3,0)</f>
        <v>93</v>
      </c>
      <c r="D4268" s="122" t="s">
        <v>393</v>
      </c>
      <c r="E4268" s="123">
        <v>45959</v>
      </c>
      <c r="F4268" s="121" t="s">
        <v>67</v>
      </c>
      <c r="G4268" s="121">
        <v>13987.3</v>
      </c>
      <c r="H4268" s="124"/>
      <c r="I4268" s="125"/>
      <c r="J4268" s="125"/>
      <c r="K4268" s="125"/>
      <c r="L4268" s="121"/>
      <c r="M4268" s="126"/>
      <c r="N4268" s="121"/>
    </row>
    <row r="4269" spans="1:14" x14ac:dyDescent="0.25">
      <c r="A4269" s="121" t="s">
        <v>99</v>
      </c>
      <c r="B4269" s="121" t="s">
        <v>101</v>
      </c>
      <c r="C4269" s="62">
        <f>VLOOKUP(B4269,合并仓明细!$D$2:$F$74,3,0)</f>
        <v>93</v>
      </c>
      <c r="D4269" s="122" t="s">
        <v>393</v>
      </c>
      <c r="E4269" s="123">
        <v>45959</v>
      </c>
      <c r="F4269" s="121" t="s">
        <v>66</v>
      </c>
      <c r="G4269" s="121">
        <v>2858.61</v>
      </c>
      <c r="H4269" s="124"/>
      <c r="I4269" s="125"/>
      <c r="J4269" s="125"/>
      <c r="K4269" s="125"/>
      <c r="L4269" s="121"/>
      <c r="M4269" s="126"/>
      <c r="N4269" s="121"/>
    </row>
    <row r="4270" spans="1:14" x14ac:dyDescent="0.25">
      <c r="A4270" s="121" t="s">
        <v>99</v>
      </c>
      <c r="B4270" s="121" t="s">
        <v>101</v>
      </c>
      <c r="C4270" s="62">
        <f>VLOOKUP(B4270,合并仓明细!$D$2:$F$74,3,0)</f>
        <v>93</v>
      </c>
      <c r="D4270" s="122" t="s">
        <v>393</v>
      </c>
      <c r="E4270" s="123">
        <v>45961</v>
      </c>
      <c r="F4270" s="121" t="s">
        <v>67</v>
      </c>
      <c r="G4270" s="121">
        <v>2707.29</v>
      </c>
      <c r="H4270" s="124">
        <v>2.9750699999999997</v>
      </c>
      <c r="I4270" s="38">
        <f>IF(H4270&gt;30,QUOTIENT(H4270,30)*VLOOKUP(D4270,'报价表-配送'!$B$2:$I$6,8,0),0)+IF(AND(MOD(H4270,30)&gt;18,MOD(H4270,30)&lt;=30),1,0)*VLOOKUP(D4270,'报价表-配送'!$B$2:$I$6,8,0)</f>
        <v>0</v>
      </c>
      <c r="J4270" s="38">
        <f>IF(AND(MOD(H4270,30)&gt;8,MOD(H4270,30)&lt;=18),1*VLOOKUP(D4270,'报价表-配送'!$B$2:$I$6,7,0),0)</f>
        <v>0</v>
      </c>
      <c r="K4270" s="38">
        <f>IF(AND(MOD(H4270,30)&lt;=8,MOD(H4270,30)&gt;0),1,0)*VLOOKUP(D4270,'报价表-配送'!$B$2:$I$6,6,0)</f>
        <v>0</v>
      </c>
      <c r="L4270" s="121"/>
      <c r="M4270" s="126"/>
      <c r="N4270" s="127">
        <f t="shared" ref="N4270" si="491">SUM(I4270:L4270)</f>
        <v>0</v>
      </c>
    </row>
    <row r="4271" spans="1:14" x14ac:dyDescent="0.25">
      <c r="A4271" s="121" t="s">
        <v>99</v>
      </c>
      <c r="B4271" s="121" t="s">
        <v>101</v>
      </c>
      <c r="C4271" s="62">
        <f>VLOOKUP(B4271,合并仓明细!$D$2:$F$74,3,0)</f>
        <v>93</v>
      </c>
      <c r="D4271" s="122" t="s">
        <v>393</v>
      </c>
      <c r="E4271" s="123">
        <v>45961</v>
      </c>
      <c r="F4271" s="121" t="s">
        <v>66</v>
      </c>
      <c r="G4271" s="121">
        <v>267.77999999999997</v>
      </c>
      <c r="H4271" s="124"/>
      <c r="I4271" s="125"/>
      <c r="J4271" s="125"/>
      <c r="K4271" s="125"/>
      <c r="L4271" s="121"/>
      <c r="M4271" s="126"/>
      <c r="N4271" s="121"/>
    </row>
    <row r="4272" spans="1:14" x14ac:dyDescent="0.25">
      <c r="A4272" s="121" t="s">
        <v>99</v>
      </c>
      <c r="B4272" s="121" t="s">
        <v>101</v>
      </c>
      <c r="C4272" s="62">
        <f>VLOOKUP(B4272,合并仓明细!$D$2:$F$74,3,0)</f>
        <v>93</v>
      </c>
      <c r="D4272" s="122" t="s">
        <v>393</v>
      </c>
      <c r="E4272" s="123">
        <v>45964</v>
      </c>
      <c r="F4272" s="121" t="s">
        <v>68</v>
      </c>
      <c r="G4272" s="121">
        <v>4643.4400000000005</v>
      </c>
      <c r="H4272" s="124">
        <v>9.7451299999999996</v>
      </c>
      <c r="I4272" s="46">
        <f>ROUNDUP(H4272/30,0)*VLOOKUP(D4272,'报价表-配送'!$B$2:$I$6,8,0)</f>
        <v>0</v>
      </c>
      <c r="J4272" s="125"/>
      <c r="K4272" s="125"/>
      <c r="L4272" s="121"/>
      <c r="M4272" s="126"/>
      <c r="N4272" s="127">
        <f t="shared" ref="N4272" si="492">SUM(I4272:L4272)</f>
        <v>0</v>
      </c>
    </row>
    <row r="4273" spans="1:14" x14ac:dyDescent="0.25">
      <c r="A4273" s="121" t="s">
        <v>99</v>
      </c>
      <c r="B4273" s="121" t="s">
        <v>101</v>
      </c>
      <c r="C4273" s="62">
        <f>VLOOKUP(B4273,合并仓明细!$D$2:$F$74,3,0)</f>
        <v>93</v>
      </c>
      <c r="D4273" s="122" t="s">
        <v>393</v>
      </c>
      <c r="E4273" s="123">
        <v>45964</v>
      </c>
      <c r="F4273" s="121" t="s">
        <v>67</v>
      </c>
      <c r="G4273" s="121">
        <v>4347.8100000000004</v>
      </c>
      <c r="H4273" s="124"/>
      <c r="I4273" s="125"/>
      <c r="J4273" s="125"/>
      <c r="K4273" s="125"/>
      <c r="L4273" s="121"/>
      <c r="M4273" s="126"/>
      <c r="N4273" s="121"/>
    </row>
    <row r="4274" spans="1:14" x14ac:dyDescent="0.25">
      <c r="A4274" s="121" t="s">
        <v>99</v>
      </c>
      <c r="B4274" s="121" t="s">
        <v>101</v>
      </c>
      <c r="C4274" s="62">
        <f>VLOOKUP(B4274,合并仓明细!$D$2:$F$74,3,0)</f>
        <v>93</v>
      </c>
      <c r="D4274" s="122" t="s">
        <v>393</v>
      </c>
      <c r="E4274" s="123">
        <v>45964</v>
      </c>
      <c r="F4274" s="121" t="s">
        <v>66</v>
      </c>
      <c r="G4274" s="121">
        <v>753.87999999999977</v>
      </c>
      <c r="H4274" s="124"/>
      <c r="I4274" s="125"/>
      <c r="J4274" s="125"/>
      <c r="K4274" s="125"/>
      <c r="L4274" s="121"/>
      <c r="M4274" s="126"/>
      <c r="N4274" s="121"/>
    </row>
    <row r="4275" spans="1:14" x14ac:dyDescent="0.25">
      <c r="A4275" s="121" t="s">
        <v>99</v>
      </c>
      <c r="B4275" s="121" t="s">
        <v>101</v>
      </c>
      <c r="C4275" s="62">
        <f>VLOOKUP(B4275,合并仓明细!$D$2:$F$74,3,0)</f>
        <v>93</v>
      </c>
      <c r="D4275" s="122" t="s">
        <v>393</v>
      </c>
      <c r="E4275" s="123">
        <v>45965</v>
      </c>
      <c r="F4275" s="121" t="s">
        <v>68</v>
      </c>
      <c r="G4275" s="121">
        <v>63.86</v>
      </c>
      <c r="H4275" s="124">
        <v>1.4340700000000002</v>
      </c>
      <c r="I4275" s="46">
        <f>ROUNDUP(H4275/30,0)*VLOOKUP(D4275,'报价表-配送'!$B$2:$I$6,8,0)</f>
        <v>0</v>
      </c>
      <c r="J4275" s="125"/>
      <c r="K4275" s="125"/>
      <c r="L4275" s="121"/>
      <c r="M4275" s="126"/>
      <c r="N4275" s="127">
        <f t="shared" ref="N4275" si="493">SUM(I4275:L4275)</f>
        <v>0</v>
      </c>
    </row>
    <row r="4276" spans="1:14" x14ac:dyDescent="0.25">
      <c r="A4276" s="121" t="s">
        <v>99</v>
      </c>
      <c r="B4276" s="121" t="s">
        <v>101</v>
      </c>
      <c r="C4276" s="62">
        <f>VLOOKUP(B4276,合并仓明细!$D$2:$F$74,3,0)</f>
        <v>93</v>
      </c>
      <c r="D4276" s="122" t="s">
        <v>393</v>
      </c>
      <c r="E4276" s="123">
        <v>45965</v>
      </c>
      <c r="F4276" s="121" t="s">
        <v>67</v>
      </c>
      <c r="G4276" s="121">
        <v>961.17</v>
      </c>
      <c r="H4276" s="124"/>
      <c r="I4276" s="125"/>
      <c r="J4276" s="125"/>
      <c r="K4276" s="125"/>
      <c r="L4276" s="121"/>
      <c r="M4276" s="126"/>
      <c r="N4276" s="121"/>
    </row>
    <row r="4277" spans="1:14" x14ac:dyDescent="0.25">
      <c r="A4277" s="121" t="s">
        <v>99</v>
      </c>
      <c r="B4277" s="121" t="s">
        <v>101</v>
      </c>
      <c r="C4277" s="62">
        <f>VLOOKUP(B4277,合并仓明细!$D$2:$F$74,3,0)</f>
        <v>93</v>
      </c>
      <c r="D4277" s="122" t="s">
        <v>393</v>
      </c>
      <c r="E4277" s="123">
        <v>45965</v>
      </c>
      <c r="F4277" s="121" t="s">
        <v>66</v>
      </c>
      <c r="G4277" s="121">
        <v>409.04000000000008</v>
      </c>
      <c r="H4277" s="124"/>
      <c r="I4277" s="125"/>
      <c r="J4277" s="125"/>
      <c r="K4277" s="125"/>
      <c r="L4277" s="121"/>
      <c r="M4277" s="126"/>
      <c r="N4277" s="121"/>
    </row>
    <row r="4278" spans="1:14" x14ac:dyDescent="0.25">
      <c r="A4278" s="121" t="s">
        <v>99</v>
      </c>
      <c r="B4278" s="121" t="s">
        <v>101</v>
      </c>
      <c r="C4278" s="62">
        <f>VLOOKUP(B4278,合并仓明细!$D$2:$F$74,3,0)</f>
        <v>93</v>
      </c>
      <c r="D4278" s="122" t="s">
        <v>393</v>
      </c>
      <c r="E4278" s="123">
        <v>45966</v>
      </c>
      <c r="F4278" s="121" t="s">
        <v>67</v>
      </c>
      <c r="G4278" s="121">
        <v>26399.399999999998</v>
      </c>
      <c r="H4278" s="124">
        <v>27.325219999999998</v>
      </c>
      <c r="I4278" s="38">
        <f>IF(H4278&gt;30,QUOTIENT(H4278,30)*VLOOKUP(D4278,'报价表-配送'!$B$2:$I$6,8,0),0)+IF(AND(MOD(H4278,30)&gt;18,MOD(H4278,30)&lt;=30),1,0)*VLOOKUP(D4278,'报价表-配送'!$B$2:$I$6,8,0)</f>
        <v>0</v>
      </c>
      <c r="J4278" s="38">
        <f>IF(AND(MOD(H4278,30)&gt;8,MOD(H4278,30)&lt;=18),1*VLOOKUP(D4278,'报价表-配送'!$B$2:$I$6,7,0),0)</f>
        <v>0</v>
      </c>
      <c r="K4278" s="38">
        <f>IF(AND(MOD(H4278,30)&lt;=8,MOD(H4278,30)&gt;0),1,0)*VLOOKUP(D4278,'报价表-配送'!$B$2:$I$6,6,0)</f>
        <v>0</v>
      </c>
      <c r="L4278" s="121"/>
      <c r="M4278" s="126"/>
      <c r="N4278" s="127">
        <f t="shared" ref="N4278" si="494">SUM(I4278:L4278)</f>
        <v>0</v>
      </c>
    </row>
    <row r="4279" spans="1:14" x14ac:dyDescent="0.25">
      <c r="A4279" s="121" t="s">
        <v>99</v>
      </c>
      <c r="B4279" s="121" t="s">
        <v>101</v>
      </c>
      <c r="C4279" s="62">
        <f>VLOOKUP(B4279,合并仓明细!$D$2:$F$74,3,0)</f>
        <v>93</v>
      </c>
      <c r="D4279" s="122" t="s">
        <v>393</v>
      </c>
      <c r="E4279" s="123">
        <v>45966</v>
      </c>
      <c r="F4279" s="121" t="s">
        <v>66</v>
      </c>
      <c r="G4279" s="121">
        <v>925.82</v>
      </c>
      <c r="H4279" s="124"/>
      <c r="I4279" s="125"/>
      <c r="J4279" s="125"/>
      <c r="K4279" s="125"/>
      <c r="L4279" s="121"/>
      <c r="M4279" s="126"/>
      <c r="N4279" s="121"/>
    </row>
    <row r="4280" spans="1:14" x14ac:dyDescent="0.25">
      <c r="A4280" s="121" t="s">
        <v>99</v>
      </c>
      <c r="B4280" s="121" t="s">
        <v>101</v>
      </c>
      <c r="C4280" s="62">
        <f>VLOOKUP(B4280,合并仓明细!$D$2:$F$74,3,0)</f>
        <v>93</v>
      </c>
      <c r="D4280" s="122" t="s">
        <v>393</v>
      </c>
      <c r="E4280" s="123">
        <v>45967</v>
      </c>
      <c r="F4280" s="121" t="s">
        <v>68</v>
      </c>
      <c r="G4280" s="121">
        <v>130.91999999999999</v>
      </c>
      <c r="H4280" s="124">
        <v>4.6374900000000006</v>
      </c>
      <c r="I4280" s="46">
        <f>ROUNDUP(H4280/30,0)*VLOOKUP(D4280,'报价表-配送'!$B$2:$I$6,8,0)</f>
        <v>0</v>
      </c>
      <c r="J4280" s="125"/>
      <c r="K4280" s="125"/>
      <c r="L4280" s="121"/>
      <c r="M4280" s="126"/>
      <c r="N4280" s="127">
        <f t="shared" ref="N4280" si="495">SUM(I4280:L4280)</f>
        <v>0</v>
      </c>
    </row>
    <row r="4281" spans="1:14" x14ac:dyDescent="0.25">
      <c r="A4281" s="121" t="s">
        <v>99</v>
      </c>
      <c r="B4281" s="121" t="s">
        <v>101</v>
      </c>
      <c r="C4281" s="62">
        <f>VLOOKUP(B4281,合并仓明细!$D$2:$F$74,3,0)</f>
        <v>93</v>
      </c>
      <c r="D4281" s="122" t="s">
        <v>393</v>
      </c>
      <c r="E4281" s="123">
        <v>45967</v>
      </c>
      <c r="F4281" s="121" t="s">
        <v>67</v>
      </c>
      <c r="G4281" s="121">
        <v>1724.66</v>
      </c>
      <c r="H4281" s="124"/>
      <c r="I4281" s="125"/>
      <c r="J4281" s="125"/>
      <c r="K4281" s="125"/>
      <c r="L4281" s="121"/>
      <c r="M4281" s="126"/>
      <c r="N4281" s="121"/>
    </row>
    <row r="4282" spans="1:14" x14ac:dyDescent="0.25">
      <c r="A4282" s="121" t="s">
        <v>99</v>
      </c>
      <c r="B4282" s="121" t="s">
        <v>101</v>
      </c>
      <c r="C4282" s="62">
        <f>VLOOKUP(B4282,合并仓明细!$D$2:$F$74,3,0)</f>
        <v>93</v>
      </c>
      <c r="D4282" s="122" t="s">
        <v>393</v>
      </c>
      <c r="E4282" s="123">
        <v>45967</v>
      </c>
      <c r="F4282" s="121" t="s">
        <v>66</v>
      </c>
      <c r="G4282" s="121">
        <v>2781.9100000000003</v>
      </c>
      <c r="H4282" s="124"/>
      <c r="I4282" s="125"/>
      <c r="J4282" s="125"/>
      <c r="K4282" s="125"/>
      <c r="L4282" s="121"/>
      <c r="M4282" s="126"/>
      <c r="N4282" s="121"/>
    </row>
    <row r="4283" spans="1:14" x14ac:dyDescent="0.25">
      <c r="A4283" s="121" t="s">
        <v>99</v>
      </c>
      <c r="B4283" s="121" t="s">
        <v>101</v>
      </c>
      <c r="C4283" s="62">
        <f>VLOOKUP(B4283,合并仓明细!$D$2:$F$74,3,0)</f>
        <v>93</v>
      </c>
      <c r="D4283" s="122" t="s">
        <v>393</v>
      </c>
      <c r="E4283" s="123">
        <v>45968</v>
      </c>
      <c r="F4283" s="121" t="s">
        <v>68</v>
      </c>
      <c r="G4283" s="121">
        <v>3761.63</v>
      </c>
      <c r="H4283" s="124">
        <v>4.6609600000000002</v>
      </c>
      <c r="I4283" s="46">
        <f>ROUNDUP(H4283/30,0)*VLOOKUP(D4283,'报价表-配送'!$B$2:$I$6,8,0)</f>
        <v>0</v>
      </c>
      <c r="J4283" s="125"/>
      <c r="K4283" s="125"/>
      <c r="L4283" s="121"/>
      <c r="M4283" s="126"/>
      <c r="N4283" s="127">
        <f t="shared" ref="N4283" si="496">SUM(I4283:L4283)</f>
        <v>0</v>
      </c>
    </row>
    <row r="4284" spans="1:14" x14ac:dyDescent="0.25">
      <c r="A4284" s="121" t="s">
        <v>99</v>
      </c>
      <c r="B4284" s="121" t="s">
        <v>101</v>
      </c>
      <c r="C4284" s="62">
        <f>VLOOKUP(B4284,合并仓明细!$D$2:$F$74,3,0)</f>
        <v>93</v>
      </c>
      <c r="D4284" s="122" t="s">
        <v>393</v>
      </c>
      <c r="E4284" s="123">
        <v>45968</v>
      </c>
      <c r="F4284" s="121" t="s">
        <v>67</v>
      </c>
      <c r="G4284" s="121">
        <v>844.32999999999993</v>
      </c>
      <c r="H4284" s="124"/>
      <c r="I4284" s="125"/>
      <c r="J4284" s="125"/>
      <c r="K4284" s="125"/>
      <c r="L4284" s="121"/>
      <c r="M4284" s="126"/>
      <c r="N4284" s="121"/>
    </row>
    <row r="4285" spans="1:14" x14ac:dyDescent="0.25">
      <c r="A4285" s="121" t="s">
        <v>99</v>
      </c>
      <c r="B4285" s="121" t="s">
        <v>101</v>
      </c>
      <c r="C4285" s="62">
        <f>VLOOKUP(B4285,合并仓明细!$D$2:$F$74,3,0)</f>
        <v>93</v>
      </c>
      <c r="D4285" s="122" t="s">
        <v>393</v>
      </c>
      <c r="E4285" s="123">
        <v>45968</v>
      </c>
      <c r="F4285" s="121" t="s">
        <v>66</v>
      </c>
      <c r="G4285" s="121">
        <v>54.999999999999993</v>
      </c>
      <c r="H4285" s="124"/>
      <c r="I4285" s="125"/>
      <c r="J4285" s="125"/>
      <c r="K4285" s="125"/>
      <c r="L4285" s="121"/>
      <c r="M4285" s="126"/>
      <c r="N4285" s="121"/>
    </row>
    <row r="4286" spans="1:14" x14ac:dyDescent="0.25">
      <c r="A4286" s="121" t="s">
        <v>99</v>
      </c>
      <c r="B4286" s="121" t="s">
        <v>101</v>
      </c>
      <c r="C4286" s="62">
        <f>VLOOKUP(B4286,合并仓明细!$D$2:$F$74,3,0)</f>
        <v>93</v>
      </c>
      <c r="D4286" s="122" t="s">
        <v>393</v>
      </c>
      <c r="E4286" s="123">
        <v>45971</v>
      </c>
      <c r="F4286" s="121" t="s">
        <v>66</v>
      </c>
      <c r="G4286" s="121">
        <v>524.47</v>
      </c>
      <c r="H4286" s="124">
        <v>0.52446999999999999</v>
      </c>
      <c r="I4286" s="125"/>
      <c r="J4286" s="125"/>
      <c r="K4286" s="125"/>
      <c r="L4286" s="37">
        <f>IF(H4286&gt;30,QUOTIENT(H4286,30)*VLOOKUP(D4286,'报价表-配送'!$B$2:$I$6,8,0),0)+IF(AND(MOD(H4286,30)&gt;18,MOD(H4286,30)&lt;=30),1,0)*VLOOKUP(D4286,'报价表-配送'!$B$2:$I$6,8,0)+IF(AND(MOD(H4286,30)&gt;8,MOD(H4286,30)&lt;=18),1*VLOOKUP(D4286,'报价表-配送'!$B$2:$I$6,7,0),0)+IF(AND(MOD(H4286,30)&lt;=8,MOD(H4286,30)&gt;2.5),1,0)*VLOOKUP(D4286,'报价表-配送'!$B$2:$I$6,6,0)+IF(AND(MOD(H4286,30)&lt;=2.5,MOD(H4286,30)&gt;=1.5),1,0)*VLOOKUP(D4286,'报价表-配送'!$B$2:$I$6,5,0)</f>
        <v>0</v>
      </c>
      <c r="M4286" s="39">
        <f>IF(AND(MOD(H4286,30)&lt;1.5,MOD(H4286,30)&gt;=0.5),H4286,0)*VLOOKUP(D4286,'报价表-配送'!$B$2:$I$6,4,0)*1000+IF(AND(MOD(H4286,30)&lt;0.5,MOD(H4286,30)&gt;=0.02),H4286,0)*VLOOKUP(D4286,'报价表-配送'!$B$2:$I$6,3,0)*1000+IF(AND(MOD(H4286,30)&lt;0.02),H4286,0)*VLOOKUP(D4286,'报价表-配送'!$B$2:$I$6,2,0)*1000</f>
        <v>0</v>
      </c>
      <c r="N4286" s="127">
        <f t="shared" ref="N4286:N4287" si="497">SUM(I4286:L4286)</f>
        <v>0</v>
      </c>
    </row>
    <row r="4287" spans="1:14" x14ac:dyDescent="0.25">
      <c r="A4287" s="121" t="s">
        <v>99</v>
      </c>
      <c r="B4287" s="121" t="s">
        <v>101</v>
      </c>
      <c r="C4287" s="62">
        <f>VLOOKUP(B4287,合并仓明细!$D$2:$F$74,3,0)</f>
        <v>93</v>
      </c>
      <c r="D4287" s="122" t="s">
        <v>393</v>
      </c>
      <c r="E4287" s="123">
        <v>45972</v>
      </c>
      <c r="F4287" s="121" t="s">
        <v>67</v>
      </c>
      <c r="G4287" s="121">
        <v>2019.7199999999998</v>
      </c>
      <c r="H4287" s="124">
        <v>3.02074</v>
      </c>
      <c r="I4287" s="38">
        <f>IF(H4287&gt;30,QUOTIENT(H4287,30)*VLOOKUP(D4287,'报价表-配送'!$B$2:$I$6,8,0),0)+IF(AND(MOD(H4287,30)&gt;18,MOD(H4287,30)&lt;=30),1,0)*VLOOKUP(D4287,'报价表-配送'!$B$2:$I$6,8,0)</f>
        <v>0</v>
      </c>
      <c r="J4287" s="38">
        <f>IF(AND(MOD(H4287,30)&gt;8,MOD(H4287,30)&lt;=18),1*VLOOKUP(D4287,'报价表-配送'!$B$2:$I$6,7,0),0)</f>
        <v>0</v>
      </c>
      <c r="K4287" s="38">
        <f>IF(AND(MOD(H4287,30)&lt;=8,MOD(H4287,30)&gt;0),1,0)*VLOOKUP(D4287,'报价表-配送'!$B$2:$I$6,6,0)</f>
        <v>0</v>
      </c>
      <c r="L4287" s="121"/>
      <c r="M4287" s="126"/>
      <c r="N4287" s="127">
        <f t="shared" si="497"/>
        <v>0</v>
      </c>
    </row>
    <row r="4288" spans="1:14" x14ac:dyDescent="0.25">
      <c r="A4288" s="121" t="s">
        <v>99</v>
      </c>
      <c r="B4288" s="121" t="s">
        <v>101</v>
      </c>
      <c r="C4288" s="62">
        <f>VLOOKUP(B4288,合并仓明细!$D$2:$F$74,3,0)</f>
        <v>93</v>
      </c>
      <c r="D4288" s="122" t="s">
        <v>393</v>
      </c>
      <c r="E4288" s="123">
        <v>45972</v>
      </c>
      <c r="F4288" s="121" t="s">
        <v>66</v>
      </c>
      <c r="G4288" s="121">
        <v>1001.02</v>
      </c>
      <c r="H4288" s="124"/>
      <c r="I4288" s="125"/>
      <c r="J4288" s="125"/>
      <c r="K4288" s="125"/>
      <c r="L4288" s="121"/>
      <c r="M4288" s="126"/>
      <c r="N4288" s="121"/>
    </row>
    <row r="4289" spans="1:14" x14ac:dyDescent="0.25">
      <c r="A4289" s="121" t="s">
        <v>99</v>
      </c>
      <c r="B4289" s="121" t="s">
        <v>101</v>
      </c>
      <c r="C4289" s="62">
        <f>VLOOKUP(B4289,合并仓明细!$D$2:$F$74,3,0)</f>
        <v>93</v>
      </c>
      <c r="D4289" s="122" t="s">
        <v>393</v>
      </c>
      <c r="E4289" s="123">
        <v>45973</v>
      </c>
      <c r="F4289" s="121" t="s">
        <v>66</v>
      </c>
      <c r="G4289" s="121">
        <v>1074.8200000000002</v>
      </c>
      <c r="H4289" s="124">
        <v>1.0748200000000001</v>
      </c>
      <c r="I4289" s="125"/>
      <c r="J4289" s="125"/>
      <c r="K4289" s="125"/>
      <c r="L4289" s="37">
        <f>IF(H4289&gt;30,QUOTIENT(H4289,30)*VLOOKUP(D4289,'报价表-配送'!$B$2:$I$6,8,0),0)+IF(AND(MOD(H4289,30)&gt;18,MOD(H4289,30)&lt;=30),1,0)*VLOOKUP(D4289,'报价表-配送'!$B$2:$I$6,8,0)+IF(AND(MOD(H4289,30)&gt;8,MOD(H4289,30)&lt;=18),1*VLOOKUP(D4289,'报价表-配送'!$B$2:$I$6,7,0),0)+IF(AND(MOD(H4289,30)&lt;=8,MOD(H4289,30)&gt;2.5),1,0)*VLOOKUP(D4289,'报价表-配送'!$B$2:$I$6,6,0)+IF(AND(MOD(H4289,30)&lt;=2.5,MOD(H4289,30)&gt;=1.5),1,0)*VLOOKUP(D4289,'报价表-配送'!$B$2:$I$6,5,0)</f>
        <v>0</v>
      </c>
      <c r="M4289" s="39">
        <f>IF(AND(MOD(H4289,30)&lt;1.5,MOD(H4289,30)&gt;=0.5),H4289,0)*VLOOKUP(D4289,'报价表-配送'!$B$2:$I$6,4,0)*1000+IF(AND(MOD(H4289,30)&lt;0.5,MOD(H4289,30)&gt;=0.02),H4289,0)*VLOOKUP(D4289,'报价表-配送'!$B$2:$I$6,3,0)*1000+IF(AND(MOD(H4289,30)&lt;0.02),H4289,0)*VLOOKUP(D4289,'报价表-配送'!$B$2:$I$6,2,0)*1000</f>
        <v>0</v>
      </c>
      <c r="N4289" s="127">
        <f t="shared" ref="N4289:N4290" si="498">SUM(I4289:L4289)</f>
        <v>0</v>
      </c>
    </row>
    <row r="4290" spans="1:14" x14ac:dyDescent="0.25">
      <c r="A4290" s="121" t="s">
        <v>99</v>
      </c>
      <c r="B4290" s="121" t="s">
        <v>101</v>
      </c>
      <c r="C4290" s="62">
        <f>VLOOKUP(B4290,合并仓明细!$D$2:$F$74,3,0)</f>
        <v>93</v>
      </c>
      <c r="D4290" s="122" t="s">
        <v>393</v>
      </c>
      <c r="E4290" s="123">
        <v>45974</v>
      </c>
      <c r="F4290" s="121" t="s">
        <v>67</v>
      </c>
      <c r="G4290" s="121">
        <v>1353.64</v>
      </c>
      <c r="H4290" s="124">
        <v>4.4366500000000011</v>
      </c>
      <c r="I4290" s="38">
        <f>IF(H4290&gt;30,QUOTIENT(H4290,30)*VLOOKUP(D4290,'报价表-配送'!$B$2:$I$6,8,0),0)+IF(AND(MOD(H4290,30)&gt;18,MOD(H4290,30)&lt;=30),1,0)*VLOOKUP(D4290,'报价表-配送'!$B$2:$I$6,8,0)</f>
        <v>0</v>
      </c>
      <c r="J4290" s="38">
        <f>IF(AND(MOD(H4290,30)&gt;8,MOD(H4290,30)&lt;=18),1*VLOOKUP(D4290,'报价表-配送'!$B$2:$I$6,7,0),0)</f>
        <v>0</v>
      </c>
      <c r="K4290" s="38">
        <f>IF(AND(MOD(H4290,30)&lt;=8,MOD(H4290,30)&gt;0),1,0)*VLOOKUP(D4290,'报价表-配送'!$B$2:$I$6,6,0)</f>
        <v>0</v>
      </c>
      <c r="L4290" s="121"/>
      <c r="M4290" s="126"/>
      <c r="N4290" s="127">
        <f t="shared" si="498"/>
        <v>0</v>
      </c>
    </row>
    <row r="4291" spans="1:14" x14ac:dyDescent="0.25">
      <c r="A4291" s="121" t="s">
        <v>99</v>
      </c>
      <c r="B4291" s="121" t="s">
        <v>101</v>
      </c>
      <c r="C4291" s="62">
        <f>VLOOKUP(B4291,合并仓明细!$D$2:$F$74,3,0)</f>
        <v>93</v>
      </c>
      <c r="D4291" s="122" t="s">
        <v>393</v>
      </c>
      <c r="E4291" s="123">
        <v>45974</v>
      </c>
      <c r="F4291" s="121" t="s">
        <v>66</v>
      </c>
      <c r="G4291" s="121">
        <v>3083.0100000000011</v>
      </c>
      <c r="H4291" s="124"/>
      <c r="I4291" s="125"/>
      <c r="J4291" s="125"/>
      <c r="K4291" s="125"/>
      <c r="L4291" s="121"/>
      <c r="M4291" s="126"/>
      <c r="N4291" s="121"/>
    </row>
    <row r="4292" spans="1:14" x14ac:dyDescent="0.25">
      <c r="A4292" s="121" t="s">
        <v>99</v>
      </c>
      <c r="B4292" s="121" t="s">
        <v>101</v>
      </c>
      <c r="C4292" s="62">
        <f>VLOOKUP(B4292,合并仓明细!$D$2:$F$74,3,0)</f>
        <v>93</v>
      </c>
      <c r="D4292" s="122" t="s">
        <v>393</v>
      </c>
      <c r="E4292" s="123">
        <v>45975</v>
      </c>
      <c r="F4292" s="121" t="s">
        <v>67</v>
      </c>
      <c r="G4292" s="121">
        <v>534.6</v>
      </c>
      <c r="H4292" s="124">
        <v>1.1728899999999998</v>
      </c>
      <c r="I4292" s="38">
        <f>IF(H4292&gt;30,QUOTIENT(H4292,30)*VLOOKUP(D4292,'报价表-配送'!$B$2:$I$6,8,0),0)+IF(AND(MOD(H4292,30)&gt;18,MOD(H4292,30)&lt;=30),1,0)*VLOOKUP(D4292,'报价表-配送'!$B$2:$I$6,8,0)</f>
        <v>0</v>
      </c>
      <c r="J4292" s="38">
        <f>IF(AND(MOD(H4292,30)&gt;8,MOD(H4292,30)&lt;=18),1*VLOOKUP(D4292,'报价表-配送'!$B$2:$I$6,7,0),0)</f>
        <v>0</v>
      </c>
      <c r="K4292" s="38">
        <f>IF(AND(MOD(H4292,30)&lt;=8,MOD(H4292,30)&gt;0),1,0)*VLOOKUP(D4292,'报价表-配送'!$B$2:$I$6,6,0)</f>
        <v>0</v>
      </c>
      <c r="L4292" s="121"/>
      <c r="M4292" s="126"/>
      <c r="N4292" s="127">
        <f t="shared" ref="N4292" si="499">SUM(I4292:L4292)</f>
        <v>0</v>
      </c>
    </row>
    <row r="4293" spans="1:14" x14ac:dyDescent="0.25">
      <c r="A4293" s="121" t="s">
        <v>99</v>
      </c>
      <c r="B4293" s="121" t="s">
        <v>101</v>
      </c>
      <c r="C4293" s="62">
        <f>VLOOKUP(B4293,合并仓明细!$D$2:$F$74,3,0)</f>
        <v>93</v>
      </c>
      <c r="D4293" s="122" t="s">
        <v>393</v>
      </c>
      <c r="E4293" s="123">
        <v>45975</v>
      </c>
      <c r="F4293" s="121" t="s">
        <v>66</v>
      </c>
      <c r="G4293" s="121">
        <v>638.29</v>
      </c>
      <c r="H4293" s="124"/>
      <c r="I4293" s="125"/>
      <c r="J4293" s="125"/>
      <c r="K4293" s="125"/>
      <c r="L4293" s="121"/>
      <c r="M4293" s="126"/>
      <c r="N4293" s="121"/>
    </row>
    <row r="4294" spans="1:14" x14ac:dyDescent="0.25">
      <c r="A4294" s="121" t="s">
        <v>99</v>
      </c>
      <c r="B4294" s="121" t="s">
        <v>101</v>
      </c>
      <c r="C4294" s="62">
        <f>VLOOKUP(B4294,合并仓明细!$D$2:$F$74,3,0)</f>
        <v>93</v>
      </c>
      <c r="D4294" s="122" t="s">
        <v>393</v>
      </c>
      <c r="E4294" s="123">
        <v>45978</v>
      </c>
      <c r="F4294" s="121" t="s">
        <v>68</v>
      </c>
      <c r="G4294" s="121">
        <v>4511.1500000000005</v>
      </c>
      <c r="H4294" s="124">
        <v>14.11017</v>
      </c>
      <c r="I4294" s="46">
        <f>ROUNDUP(H4294/30,0)*VLOOKUP(D4294,'报价表-配送'!$B$2:$I$6,8,0)</f>
        <v>0</v>
      </c>
      <c r="J4294" s="125"/>
      <c r="K4294" s="125"/>
      <c r="L4294" s="121"/>
      <c r="M4294" s="126"/>
      <c r="N4294" s="127">
        <f t="shared" ref="N4294" si="500">SUM(I4294:L4294)</f>
        <v>0</v>
      </c>
    </row>
    <row r="4295" spans="1:14" x14ac:dyDescent="0.25">
      <c r="A4295" s="121" t="s">
        <v>99</v>
      </c>
      <c r="B4295" s="121" t="s">
        <v>101</v>
      </c>
      <c r="C4295" s="62">
        <f>VLOOKUP(B4295,合并仓明细!$D$2:$F$74,3,0)</f>
        <v>93</v>
      </c>
      <c r="D4295" s="122" t="s">
        <v>393</v>
      </c>
      <c r="E4295" s="123">
        <v>45978</v>
      </c>
      <c r="F4295" s="121" t="s">
        <v>67</v>
      </c>
      <c r="G4295" s="121">
        <v>9306.6400000000012</v>
      </c>
      <c r="H4295" s="124"/>
      <c r="I4295" s="125"/>
      <c r="J4295" s="125"/>
      <c r="K4295" s="125"/>
      <c r="L4295" s="121"/>
      <c r="M4295" s="126"/>
      <c r="N4295" s="121"/>
    </row>
    <row r="4296" spans="1:14" x14ac:dyDescent="0.25">
      <c r="A4296" s="121" t="s">
        <v>99</v>
      </c>
      <c r="B4296" s="121" t="s">
        <v>101</v>
      </c>
      <c r="C4296" s="62">
        <f>VLOOKUP(B4296,合并仓明细!$D$2:$F$74,3,0)</f>
        <v>93</v>
      </c>
      <c r="D4296" s="122" t="s">
        <v>393</v>
      </c>
      <c r="E4296" s="123">
        <v>45978</v>
      </c>
      <c r="F4296" s="121" t="s">
        <v>66</v>
      </c>
      <c r="G4296" s="121">
        <v>292.38000000000005</v>
      </c>
      <c r="H4296" s="124"/>
      <c r="I4296" s="125"/>
      <c r="J4296" s="125"/>
      <c r="K4296" s="125"/>
      <c r="L4296" s="121"/>
      <c r="M4296" s="126"/>
      <c r="N4296" s="121"/>
    </row>
    <row r="4297" spans="1:14" x14ac:dyDescent="0.25">
      <c r="A4297" s="121" t="s">
        <v>99</v>
      </c>
      <c r="B4297" s="121" t="s">
        <v>101</v>
      </c>
      <c r="C4297" s="62">
        <f>VLOOKUP(B4297,合并仓明细!$D$2:$F$74,3,0)</f>
        <v>93</v>
      </c>
      <c r="D4297" s="122" t="s">
        <v>393</v>
      </c>
      <c r="E4297" s="123">
        <v>45979</v>
      </c>
      <c r="F4297" s="121" t="s">
        <v>67</v>
      </c>
      <c r="G4297" s="121">
        <v>23162.929999999997</v>
      </c>
      <c r="H4297" s="124">
        <v>23.405809999999999</v>
      </c>
      <c r="I4297" s="38">
        <f>IF(H4297&gt;30,QUOTIENT(H4297,30)*VLOOKUP(D4297,'报价表-配送'!$B$2:$I$6,8,0),0)+IF(AND(MOD(H4297,30)&gt;18,MOD(H4297,30)&lt;=30),1,0)*VLOOKUP(D4297,'报价表-配送'!$B$2:$I$6,8,0)</f>
        <v>0</v>
      </c>
      <c r="J4297" s="38">
        <f>IF(AND(MOD(H4297,30)&gt;8,MOD(H4297,30)&lt;=18),1*VLOOKUP(D4297,'报价表-配送'!$B$2:$I$6,7,0),0)</f>
        <v>0</v>
      </c>
      <c r="K4297" s="38">
        <f>IF(AND(MOD(H4297,30)&lt;=8,MOD(H4297,30)&gt;0),1,0)*VLOOKUP(D4297,'报价表-配送'!$B$2:$I$6,6,0)</f>
        <v>0</v>
      </c>
      <c r="L4297" s="121"/>
      <c r="M4297" s="126"/>
      <c r="N4297" s="127">
        <f t="shared" ref="N4297" si="501">SUM(I4297:L4297)</f>
        <v>0</v>
      </c>
    </row>
    <row r="4298" spans="1:14" x14ac:dyDescent="0.25">
      <c r="A4298" s="121" t="s">
        <v>99</v>
      </c>
      <c r="B4298" s="121" t="s">
        <v>101</v>
      </c>
      <c r="C4298" s="62">
        <f>VLOOKUP(B4298,合并仓明细!$D$2:$F$74,3,0)</f>
        <v>93</v>
      </c>
      <c r="D4298" s="122" t="s">
        <v>393</v>
      </c>
      <c r="E4298" s="123">
        <v>45979</v>
      </c>
      <c r="F4298" s="121" t="s">
        <v>66</v>
      </c>
      <c r="G4298" s="121">
        <v>242.88</v>
      </c>
      <c r="H4298" s="124"/>
      <c r="I4298" s="125"/>
      <c r="J4298" s="125"/>
      <c r="K4298" s="125"/>
      <c r="L4298" s="121"/>
      <c r="M4298" s="126"/>
      <c r="N4298" s="121"/>
    </row>
    <row r="4299" spans="1:14" x14ac:dyDescent="0.25">
      <c r="A4299" s="121" t="s">
        <v>99</v>
      </c>
      <c r="B4299" s="121" t="s">
        <v>101</v>
      </c>
      <c r="C4299" s="62">
        <f>VLOOKUP(B4299,合并仓明细!$D$2:$F$74,3,0)</f>
        <v>93</v>
      </c>
      <c r="D4299" s="122" t="s">
        <v>393</v>
      </c>
      <c r="E4299" s="123">
        <v>45980</v>
      </c>
      <c r="F4299" s="121" t="s">
        <v>68</v>
      </c>
      <c r="G4299" s="121">
        <v>2377.94</v>
      </c>
      <c r="H4299" s="124">
        <v>4.97966</v>
      </c>
      <c r="I4299" s="46">
        <f>ROUNDUP(H4299/30,0)*VLOOKUP(D4299,'报价表-配送'!$B$2:$I$6,8,0)</f>
        <v>0</v>
      </c>
      <c r="J4299" s="125"/>
      <c r="K4299" s="125"/>
      <c r="L4299" s="121"/>
      <c r="M4299" s="126"/>
      <c r="N4299" s="127">
        <f t="shared" ref="N4299" si="502">SUM(I4299:L4299)</f>
        <v>0</v>
      </c>
    </row>
    <row r="4300" spans="1:14" x14ac:dyDescent="0.25">
      <c r="A4300" s="121" t="s">
        <v>99</v>
      </c>
      <c r="B4300" s="121" t="s">
        <v>101</v>
      </c>
      <c r="C4300" s="62">
        <f>VLOOKUP(B4300,合并仓明细!$D$2:$F$74,3,0)</f>
        <v>93</v>
      </c>
      <c r="D4300" s="122" t="s">
        <v>393</v>
      </c>
      <c r="E4300" s="123">
        <v>45980</v>
      </c>
      <c r="F4300" s="121" t="s">
        <v>67</v>
      </c>
      <c r="G4300" s="121">
        <v>665.66</v>
      </c>
      <c r="H4300" s="124"/>
      <c r="I4300" s="125"/>
      <c r="J4300" s="125"/>
      <c r="K4300" s="125"/>
      <c r="L4300" s="121"/>
      <c r="M4300" s="126"/>
      <c r="N4300" s="121"/>
    </row>
    <row r="4301" spans="1:14" x14ac:dyDescent="0.25">
      <c r="A4301" s="121" t="s">
        <v>99</v>
      </c>
      <c r="B4301" s="121" t="s">
        <v>101</v>
      </c>
      <c r="C4301" s="62">
        <f>VLOOKUP(B4301,合并仓明细!$D$2:$F$74,3,0)</f>
        <v>93</v>
      </c>
      <c r="D4301" s="122" t="s">
        <v>393</v>
      </c>
      <c r="E4301" s="123">
        <v>45980</v>
      </c>
      <c r="F4301" s="121" t="s">
        <v>66</v>
      </c>
      <c r="G4301" s="121">
        <v>1936.0599999999995</v>
      </c>
      <c r="H4301" s="124"/>
      <c r="I4301" s="125"/>
      <c r="J4301" s="125"/>
      <c r="K4301" s="125"/>
      <c r="L4301" s="121"/>
      <c r="M4301" s="126"/>
      <c r="N4301" s="121"/>
    </row>
    <row r="4302" spans="1:14" x14ac:dyDescent="0.25">
      <c r="A4302" s="121" t="s">
        <v>99</v>
      </c>
      <c r="B4302" s="121" t="s">
        <v>101</v>
      </c>
      <c r="C4302" s="62">
        <f>VLOOKUP(B4302,合并仓明细!$D$2:$F$74,3,0)</f>
        <v>93</v>
      </c>
      <c r="D4302" s="122" t="s">
        <v>393</v>
      </c>
      <c r="E4302" s="123">
        <v>45981</v>
      </c>
      <c r="F4302" s="121" t="s">
        <v>68</v>
      </c>
      <c r="G4302" s="121">
        <v>298.56</v>
      </c>
      <c r="H4302" s="124">
        <v>13.668289999999999</v>
      </c>
      <c r="I4302" s="46">
        <f>ROUNDUP(H4302/30,0)*VLOOKUP(D4302,'报价表-配送'!$B$2:$I$6,8,0)</f>
        <v>0</v>
      </c>
      <c r="J4302" s="125"/>
      <c r="K4302" s="125"/>
      <c r="L4302" s="121"/>
      <c r="M4302" s="126"/>
      <c r="N4302" s="127">
        <f t="shared" ref="N4302" si="503">SUM(I4302:L4302)</f>
        <v>0</v>
      </c>
    </row>
    <row r="4303" spans="1:14" x14ac:dyDescent="0.25">
      <c r="A4303" s="121" t="s">
        <v>99</v>
      </c>
      <c r="B4303" s="121" t="s">
        <v>101</v>
      </c>
      <c r="C4303" s="62">
        <f>VLOOKUP(B4303,合并仓明细!$D$2:$F$74,3,0)</f>
        <v>93</v>
      </c>
      <c r="D4303" s="122" t="s">
        <v>393</v>
      </c>
      <c r="E4303" s="123">
        <v>45981</v>
      </c>
      <c r="F4303" s="121" t="s">
        <v>67</v>
      </c>
      <c r="G4303" s="121">
        <v>11994.71</v>
      </c>
      <c r="H4303" s="124"/>
      <c r="I4303" s="125"/>
      <c r="J4303" s="125"/>
      <c r="K4303" s="125"/>
      <c r="L4303" s="121"/>
      <c r="M4303" s="126"/>
      <c r="N4303" s="121"/>
    </row>
    <row r="4304" spans="1:14" x14ac:dyDescent="0.25">
      <c r="A4304" s="121" t="s">
        <v>99</v>
      </c>
      <c r="B4304" s="121" t="s">
        <v>101</v>
      </c>
      <c r="C4304" s="62">
        <f>VLOOKUP(B4304,合并仓明细!$D$2:$F$74,3,0)</f>
        <v>93</v>
      </c>
      <c r="D4304" s="122" t="s">
        <v>393</v>
      </c>
      <c r="E4304" s="123">
        <v>45981</v>
      </c>
      <c r="F4304" s="121" t="s">
        <v>66</v>
      </c>
      <c r="G4304" s="121">
        <v>1375.0199999999998</v>
      </c>
      <c r="H4304" s="124"/>
      <c r="I4304" s="125"/>
      <c r="J4304" s="125"/>
      <c r="K4304" s="125"/>
      <c r="L4304" s="121"/>
      <c r="M4304" s="126"/>
      <c r="N4304" s="121"/>
    </row>
    <row r="4305" spans="1:14" x14ac:dyDescent="0.25">
      <c r="A4305" s="121" t="s">
        <v>99</v>
      </c>
      <c r="B4305" s="121" t="s">
        <v>101</v>
      </c>
      <c r="C4305" s="62">
        <f>VLOOKUP(B4305,合并仓明细!$D$2:$F$74,3,0)</f>
        <v>93</v>
      </c>
      <c r="D4305" s="122" t="s">
        <v>393</v>
      </c>
      <c r="E4305" s="123">
        <v>45982</v>
      </c>
      <c r="F4305" s="121" t="s">
        <v>68</v>
      </c>
      <c r="G4305" s="121">
        <v>8066.0999999999995</v>
      </c>
      <c r="H4305" s="124">
        <v>11.773399999999999</v>
      </c>
      <c r="I4305" s="46">
        <f>ROUNDUP(H4305/30,0)*VLOOKUP(D4305,'报价表-配送'!$B$2:$I$6,8,0)</f>
        <v>0</v>
      </c>
      <c r="J4305" s="125"/>
      <c r="K4305" s="125"/>
      <c r="L4305" s="121"/>
      <c r="M4305" s="126"/>
      <c r="N4305" s="127">
        <f t="shared" ref="N4305" si="504">SUM(I4305:L4305)</f>
        <v>0</v>
      </c>
    </row>
    <row r="4306" spans="1:14" x14ac:dyDescent="0.25">
      <c r="A4306" s="121" t="s">
        <v>99</v>
      </c>
      <c r="B4306" s="121" t="s">
        <v>101</v>
      </c>
      <c r="C4306" s="62">
        <f>VLOOKUP(B4306,合并仓明细!$D$2:$F$74,3,0)</f>
        <v>93</v>
      </c>
      <c r="D4306" s="122" t="s">
        <v>393</v>
      </c>
      <c r="E4306" s="123">
        <v>45982</v>
      </c>
      <c r="F4306" s="121" t="s">
        <v>67</v>
      </c>
      <c r="G4306" s="121">
        <v>3569.3999999999996</v>
      </c>
      <c r="H4306" s="124"/>
      <c r="I4306" s="125"/>
      <c r="J4306" s="125"/>
      <c r="K4306" s="125"/>
      <c r="L4306" s="121"/>
      <c r="M4306" s="126"/>
      <c r="N4306" s="121"/>
    </row>
    <row r="4307" spans="1:14" x14ac:dyDescent="0.25">
      <c r="A4307" s="121" t="s">
        <v>99</v>
      </c>
      <c r="B4307" s="121" t="s">
        <v>101</v>
      </c>
      <c r="C4307" s="62">
        <f>VLOOKUP(B4307,合并仓明细!$D$2:$F$74,3,0)</f>
        <v>93</v>
      </c>
      <c r="D4307" s="122" t="s">
        <v>393</v>
      </c>
      <c r="E4307" s="123">
        <v>45982</v>
      </c>
      <c r="F4307" s="121" t="s">
        <v>66</v>
      </c>
      <c r="G4307" s="121">
        <v>137.9</v>
      </c>
      <c r="H4307" s="124"/>
      <c r="I4307" s="125"/>
      <c r="J4307" s="125"/>
      <c r="K4307" s="125"/>
      <c r="L4307" s="121"/>
      <c r="M4307" s="126"/>
      <c r="N4307" s="121"/>
    </row>
    <row r="4308" spans="1:14" x14ac:dyDescent="0.25">
      <c r="A4308" s="121" t="s">
        <v>99</v>
      </c>
      <c r="B4308" s="121" t="s">
        <v>101</v>
      </c>
      <c r="C4308" s="62">
        <f>VLOOKUP(B4308,合并仓明细!$D$2:$F$74,3,0)</f>
        <v>93</v>
      </c>
      <c r="D4308" s="122" t="s">
        <v>393</v>
      </c>
      <c r="E4308" s="123">
        <v>45985</v>
      </c>
      <c r="F4308" s="121" t="s">
        <v>68</v>
      </c>
      <c r="G4308" s="121">
        <v>211.21</v>
      </c>
      <c r="H4308" s="124">
        <v>4.3717800000000002</v>
      </c>
      <c r="I4308" s="46">
        <f>ROUNDUP(H4308/30,0)*VLOOKUP(D4308,'报价表-配送'!$B$2:$I$6,8,0)</f>
        <v>0</v>
      </c>
      <c r="J4308" s="125"/>
      <c r="K4308" s="125"/>
      <c r="L4308" s="121"/>
      <c r="M4308" s="126"/>
      <c r="N4308" s="127">
        <f t="shared" ref="N4308" si="505">SUM(I4308:L4308)</f>
        <v>0</v>
      </c>
    </row>
    <row r="4309" spans="1:14" x14ac:dyDescent="0.25">
      <c r="A4309" s="121" t="s">
        <v>99</v>
      </c>
      <c r="B4309" s="121" t="s">
        <v>101</v>
      </c>
      <c r="C4309" s="62">
        <f>VLOOKUP(B4309,合并仓明细!$D$2:$F$74,3,0)</f>
        <v>93</v>
      </c>
      <c r="D4309" s="122" t="s">
        <v>393</v>
      </c>
      <c r="E4309" s="123">
        <v>45985</v>
      </c>
      <c r="F4309" s="121" t="s">
        <v>67</v>
      </c>
      <c r="G4309" s="121">
        <v>747.11</v>
      </c>
      <c r="H4309" s="124"/>
      <c r="I4309" s="125"/>
      <c r="J4309" s="125"/>
      <c r="K4309" s="125"/>
      <c r="L4309" s="121"/>
      <c r="M4309" s="126"/>
      <c r="N4309" s="121"/>
    </row>
    <row r="4310" spans="1:14" x14ac:dyDescent="0.25">
      <c r="A4310" s="121" t="s">
        <v>99</v>
      </c>
      <c r="B4310" s="121" t="s">
        <v>101</v>
      </c>
      <c r="C4310" s="62">
        <f>VLOOKUP(B4310,合并仓明细!$D$2:$F$74,3,0)</f>
        <v>93</v>
      </c>
      <c r="D4310" s="122" t="s">
        <v>393</v>
      </c>
      <c r="E4310" s="123">
        <v>45985</v>
      </c>
      <c r="F4310" s="121" t="s">
        <v>66</v>
      </c>
      <c r="G4310" s="121">
        <v>3413.4600000000005</v>
      </c>
      <c r="H4310" s="124"/>
      <c r="I4310" s="125"/>
      <c r="J4310" s="125"/>
      <c r="K4310" s="125"/>
      <c r="L4310" s="121"/>
      <c r="M4310" s="126"/>
      <c r="N4310" s="121"/>
    </row>
    <row r="4311" spans="1:14" x14ac:dyDescent="0.25">
      <c r="A4311" s="121" t="s">
        <v>99</v>
      </c>
      <c r="B4311" s="121" t="s">
        <v>101</v>
      </c>
      <c r="C4311" s="62">
        <f>VLOOKUP(B4311,合并仓明细!$D$2:$F$74,3,0)</f>
        <v>93</v>
      </c>
      <c r="D4311" s="122" t="s">
        <v>393</v>
      </c>
      <c r="E4311" s="123">
        <v>45986</v>
      </c>
      <c r="F4311" s="121" t="s">
        <v>67</v>
      </c>
      <c r="G4311" s="121">
        <v>82.33</v>
      </c>
      <c r="H4311" s="124">
        <v>1.2155699999999998</v>
      </c>
      <c r="I4311" s="38">
        <f>IF(H4311&gt;30,QUOTIENT(H4311,30)*VLOOKUP(D4311,'报价表-配送'!$B$2:$I$6,8,0),0)+IF(AND(MOD(H4311,30)&gt;18,MOD(H4311,30)&lt;=30),1,0)*VLOOKUP(D4311,'报价表-配送'!$B$2:$I$6,8,0)</f>
        <v>0</v>
      </c>
      <c r="J4311" s="38">
        <f>IF(AND(MOD(H4311,30)&gt;8,MOD(H4311,30)&lt;=18),1*VLOOKUP(D4311,'报价表-配送'!$B$2:$I$6,7,0),0)</f>
        <v>0</v>
      </c>
      <c r="K4311" s="38">
        <f>IF(AND(MOD(H4311,30)&lt;=8,MOD(H4311,30)&gt;0),1,0)*VLOOKUP(D4311,'报价表-配送'!$B$2:$I$6,6,0)</f>
        <v>0</v>
      </c>
      <c r="L4311" s="121"/>
      <c r="M4311" s="126"/>
      <c r="N4311" s="127">
        <f t="shared" ref="N4311" si="506">SUM(I4311:L4311)</f>
        <v>0</v>
      </c>
    </row>
    <row r="4312" spans="1:14" x14ac:dyDescent="0.25">
      <c r="A4312" s="121" t="s">
        <v>99</v>
      </c>
      <c r="B4312" s="121" t="s">
        <v>101</v>
      </c>
      <c r="C4312" s="62">
        <f>VLOOKUP(B4312,合并仓明细!$D$2:$F$74,3,0)</f>
        <v>93</v>
      </c>
      <c r="D4312" s="122" t="s">
        <v>393</v>
      </c>
      <c r="E4312" s="123">
        <v>45986</v>
      </c>
      <c r="F4312" s="121" t="s">
        <v>66</v>
      </c>
      <c r="G4312" s="121">
        <v>1133.2399999999998</v>
      </c>
      <c r="H4312" s="124"/>
      <c r="I4312" s="125"/>
      <c r="J4312" s="125"/>
      <c r="K4312" s="125"/>
      <c r="L4312" s="121"/>
      <c r="M4312" s="126"/>
      <c r="N4312" s="121"/>
    </row>
    <row r="4313" spans="1:14" x14ac:dyDescent="0.25">
      <c r="A4313" s="121" t="s">
        <v>99</v>
      </c>
      <c r="B4313" s="121" t="s">
        <v>101</v>
      </c>
      <c r="C4313" s="62">
        <f>VLOOKUP(B4313,合并仓明细!$D$2:$F$74,3,0)</f>
        <v>93</v>
      </c>
      <c r="D4313" s="122" t="s">
        <v>393</v>
      </c>
      <c r="E4313" s="123">
        <v>45987</v>
      </c>
      <c r="F4313" s="121" t="s">
        <v>66</v>
      </c>
      <c r="G4313" s="121">
        <v>393.90000000000003</v>
      </c>
      <c r="H4313" s="124">
        <v>0.39390000000000003</v>
      </c>
      <c r="I4313" s="125"/>
      <c r="J4313" s="125"/>
      <c r="K4313" s="125"/>
      <c r="L4313" s="37">
        <f>IF(H4313&gt;30,QUOTIENT(H4313,30)*VLOOKUP(D4313,'报价表-配送'!$B$2:$I$6,8,0),0)+IF(AND(MOD(H4313,30)&gt;18,MOD(H4313,30)&lt;=30),1,0)*VLOOKUP(D4313,'报价表-配送'!$B$2:$I$6,8,0)+IF(AND(MOD(H4313,30)&gt;8,MOD(H4313,30)&lt;=18),1*VLOOKUP(D4313,'报价表-配送'!$B$2:$I$6,7,0),0)+IF(AND(MOD(H4313,30)&lt;=8,MOD(H4313,30)&gt;2.5),1,0)*VLOOKUP(D4313,'报价表-配送'!$B$2:$I$6,6,0)+IF(AND(MOD(H4313,30)&lt;=2.5,MOD(H4313,30)&gt;=1.5),1,0)*VLOOKUP(D4313,'报价表-配送'!$B$2:$I$6,5,0)</f>
        <v>0</v>
      </c>
      <c r="M4313" s="39">
        <f>IF(AND(MOD(H4313,30)&lt;1.5,MOD(H4313,30)&gt;=0.5),H4313,0)*VLOOKUP(D4313,'报价表-配送'!$B$2:$I$6,4,0)*1000+IF(AND(MOD(H4313,30)&lt;0.5,MOD(H4313,30)&gt;=0.02),H4313,0)*VLOOKUP(D4313,'报价表-配送'!$B$2:$I$6,3,0)*1000+IF(AND(MOD(H4313,30)&lt;0.02),H4313,0)*VLOOKUP(D4313,'报价表-配送'!$B$2:$I$6,2,0)*1000</f>
        <v>0</v>
      </c>
      <c r="N4313" s="127">
        <f t="shared" ref="N4313:N4316" si="507">SUM(I4313:L4313)</f>
        <v>0</v>
      </c>
    </row>
    <row r="4314" spans="1:14" x14ac:dyDescent="0.25">
      <c r="A4314" s="121" t="s">
        <v>99</v>
      </c>
      <c r="B4314" s="121" t="s">
        <v>101</v>
      </c>
      <c r="C4314" s="62">
        <f>VLOOKUP(B4314,合并仓明细!$D$2:$F$74,3,0)</f>
        <v>93</v>
      </c>
      <c r="D4314" s="122" t="s">
        <v>393</v>
      </c>
      <c r="E4314" s="123">
        <v>45988</v>
      </c>
      <c r="F4314" s="121" t="s">
        <v>66</v>
      </c>
      <c r="G4314" s="121">
        <v>692.12000000000023</v>
      </c>
      <c r="H4314" s="124">
        <v>0.69212000000000018</v>
      </c>
      <c r="I4314" s="125"/>
      <c r="J4314" s="125"/>
      <c r="K4314" s="125"/>
      <c r="L4314" s="37">
        <f>IF(H4314&gt;30,QUOTIENT(H4314,30)*VLOOKUP(D4314,'报价表-配送'!$B$2:$I$6,8,0),0)+IF(AND(MOD(H4314,30)&gt;18,MOD(H4314,30)&lt;=30),1,0)*VLOOKUP(D4314,'报价表-配送'!$B$2:$I$6,8,0)+IF(AND(MOD(H4314,30)&gt;8,MOD(H4314,30)&lt;=18),1*VLOOKUP(D4314,'报价表-配送'!$B$2:$I$6,7,0),0)+IF(AND(MOD(H4314,30)&lt;=8,MOD(H4314,30)&gt;2.5),1,0)*VLOOKUP(D4314,'报价表-配送'!$B$2:$I$6,6,0)+IF(AND(MOD(H4314,30)&lt;=2.5,MOD(H4314,30)&gt;=1.5),1,0)*VLOOKUP(D4314,'报价表-配送'!$B$2:$I$6,5,0)</f>
        <v>0</v>
      </c>
      <c r="M4314" s="39">
        <f>IF(AND(MOD(H4314,30)&lt;1.5,MOD(H4314,30)&gt;=0.5),H4314,0)*VLOOKUP(D4314,'报价表-配送'!$B$2:$I$6,4,0)*1000+IF(AND(MOD(H4314,30)&lt;0.5,MOD(H4314,30)&gt;=0.02),H4314,0)*VLOOKUP(D4314,'报价表-配送'!$B$2:$I$6,3,0)*1000+IF(AND(MOD(H4314,30)&lt;0.02),H4314,0)*VLOOKUP(D4314,'报价表-配送'!$B$2:$I$6,2,0)*1000</f>
        <v>0</v>
      </c>
      <c r="N4314" s="127">
        <f t="shared" si="507"/>
        <v>0</v>
      </c>
    </row>
    <row r="4315" spans="1:14" x14ac:dyDescent="0.25">
      <c r="A4315" s="121" t="s">
        <v>99</v>
      </c>
      <c r="B4315" s="121" t="s">
        <v>101</v>
      </c>
      <c r="C4315" s="62">
        <f>VLOOKUP(B4315,合并仓明细!$D$2:$F$74,3,0)</f>
        <v>93</v>
      </c>
      <c r="D4315" s="122" t="s">
        <v>393</v>
      </c>
      <c r="E4315" s="123">
        <v>45989</v>
      </c>
      <c r="F4315" s="121" t="s">
        <v>66</v>
      </c>
      <c r="G4315" s="121">
        <v>270.55999999999995</v>
      </c>
      <c r="H4315" s="124">
        <v>0.27055999999999997</v>
      </c>
      <c r="I4315" s="125"/>
      <c r="J4315" s="125"/>
      <c r="K4315" s="125"/>
      <c r="L4315" s="37">
        <f>IF(H4315&gt;30,QUOTIENT(H4315,30)*VLOOKUP(D4315,'报价表-配送'!$B$2:$I$6,8,0),0)+IF(AND(MOD(H4315,30)&gt;18,MOD(H4315,30)&lt;=30),1,0)*VLOOKUP(D4315,'报价表-配送'!$B$2:$I$6,8,0)+IF(AND(MOD(H4315,30)&gt;8,MOD(H4315,30)&lt;=18),1*VLOOKUP(D4315,'报价表-配送'!$B$2:$I$6,7,0),0)+IF(AND(MOD(H4315,30)&lt;=8,MOD(H4315,30)&gt;2.5),1,0)*VLOOKUP(D4315,'报价表-配送'!$B$2:$I$6,6,0)+IF(AND(MOD(H4315,30)&lt;=2.5,MOD(H4315,30)&gt;=1.5),1,0)*VLOOKUP(D4315,'报价表-配送'!$B$2:$I$6,5,0)</f>
        <v>0</v>
      </c>
      <c r="M4315" s="39">
        <f>IF(AND(MOD(H4315,30)&lt;1.5,MOD(H4315,30)&gt;=0.5),H4315,0)*VLOOKUP(D4315,'报价表-配送'!$B$2:$I$6,4,0)*1000+IF(AND(MOD(H4315,30)&lt;0.5,MOD(H4315,30)&gt;=0.02),H4315,0)*VLOOKUP(D4315,'报价表-配送'!$B$2:$I$6,3,0)*1000+IF(AND(MOD(H4315,30)&lt;0.02),H4315,0)*VLOOKUP(D4315,'报价表-配送'!$B$2:$I$6,2,0)*1000</f>
        <v>0</v>
      </c>
      <c r="N4315" s="127">
        <f t="shared" si="507"/>
        <v>0</v>
      </c>
    </row>
    <row r="4316" spans="1:14" x14ac:dyDescent="0.25">
      <c r="A4316" s="121" t="s">
        <v>99</v>
      </c>
      <c r="B4316" s="121" t="s">
        <v>101</v>
      </c>
      <c r="C4316" s="62">
        <f>VLOOKUP(B4316,合并仓明细!$D$2:$F$74,3,0)</f>
        <v>93</v>
      </c>
      <c r="D4316" s="122" t="s">
        <v>393</v>
      </c>
      <c r="E4316" s="123">
        <v>45992</v>
      </c>
      <c r="F4316" s="121" t="s">
        <v>68</v>
      </c>
      <c r="G4316" s="121">
        <v>2861.0299999999997</v>
      </c>
      <c r="H4316" s="124">
        <v>23.203739999999993</v>
      </c>
      <c r="I4316" s="46">
        <f>ROUNDUP(H4316/30,0)*VLOOKUP(D4316,'报价表-配送'!$B$2:$I$6,8,0)</f>
        <v>0</v>
      </c>
      <c r="J4316" s="125"/>
      <c r="K4316" s="125"/>
      <c r="L4316" s="121"/>
      <c r="M4316" s="126"/>
      <c r="N4316" s="127">
        <f t="shared" si="507"/>
        <v>0</v>
      </c>
    </row>
    <row r="4317" spans="1:14" x14ac:dyDescent="0.25">
      <c r="A4317" s="121" t="s">
        <v>99</v>
      </c>
      <c r="B4317" s="121" t="s">
        <v>101</v>
      </c>
      <c r="C4317" s="62">
        <f>VLOOKUP(B4317,合并仓明细!$D$2:$F$74,3,0)</f>
        <v>93</v>
      </c>
      <c r="D4317" s="122" t="s">
        <v>393</v>
      </c>
      <c r="E4317" s="123">
        <v>45992</v>
      </c>
      <c r="F4317" s="121" t="s">
        <v>67</v>
      </c>
      <c r="G4317" s="121">
        <v>20215.959999999995</v>
      </c>
      <c r="H4317" s="124"/>
      <c r="I4317" s="125"/>
      <c r="J4317" s="125"/>
      <c r="K4317" s="125"/>
      <c r="L4317" s="121"/>
      <c r="M4317" s="126"/>
      <c r="N4317" s="121"/>
    </row>
    <row r="4318" spans="1:14" x14ac:dyDescent="0.25">
      <c r="A4318" s="121" t="s">
        <v>99</v>
      </c>
      <c r="B4318" s="121" t="s">
        <v>101</v>
      </c>
      <c r="C4318" s="62">
        <f>VLOOKUP(B4318,合并仓明细!$D$2:$F$74,3,0)</f>
        <v>93</v>
      </c>
      <c r="D4318" s="122" t="s">
        <v>393</v>
      </c>
      <c r="E4318" s="123">
        <v>45992</v>
      </c>
      <c r="F4318" s="121" t="s">
        <v>66</v>
      </c>
      <c r="G4318" s="121">
        <v>126.75</v>
      </c>
      <c r="H4318" s="124"/>
      <c r="I4318" s="125"/>
      <c r="J4318" s="125"/>
      <c r="K4318" s="125"/>
      <c r="L4318" s="121"/>
      <c r="M4318" s="126"/>
      <c r="N4318" s="121"/>
    </row>
    <row r="4319" spans="1:14" x14ac:dyDescent="0.25">
      <c r="A4319" s="121" t="s">
        <v>99</v>
      </c>
      <c r="B4319" s="121" t="s">
        <v>101</v>
      </c>
      <c r="C4319" s="62">
        <f>VLOOKUP(B4319,合并仓明细!$D$2:$F$74,3,0)</f>
        <v>93</v>
      </c>
      <c r="D4319" s="122" t="s">
        <v>393</v>
      </c>
      <c r="E4319" s="123">
        <v>45993</v>
      </c>
      <c r="F4319" s="121" t="s">
        <v>68</v>
      </c>
      <c r="G4319" s="121">
        <v>1719.94</v>
      </c>
      <c r="H4319" s="124">
        <v>6.4150499999999999</v>
      </c>
      <c r="I4319" s="46">
        <f>ROUNDUP(H4319/30,0)*VLOOKUP(D4319,'报价表-配送'!$B$2:$I$6,8,0)</f>
        <v>0</v>
      </c>
      <c r="J4319" s="125"/>
      <c r="K4319" s="125"/>
      <c r="L4319" s="121"/>
      <c r="M4319" s="126"/>
      <c r="N4319" s="127">
        <f t="shared" ref="N4319" si="508">SUM(I4319:L4319)</f>
        <v>0</v>
      </c>
    </row>
    <row r="4320" spans="1:14" x14ac:dyDescent="0.25">
      <c r="A4320" s="121" t="s">
        <v>99</v>
      </c>
      <c r="B4320" s="121" t="s">
        <v>101</v>
      </c>
      <c r="C4320" s="62">
        <f>VLOOKUP(B4320,合并仓明细!$D$2:$F$74,3,0)</f>
        <v>93</v>
      </c>
      <c r="D4320" s="122" t="s">
        <v>393</v>
      </c>
      <c r="E4320" s="123">
        <v>45993</v>
      </c>
      <c r="F4320" s="121" t="s">
        <v>67</v>
      </c>
      <c r="G4320" s="121">
        <v>4036.23</v>
      </c>
      <c r="H4320" s="124"/>
      <c r="I4320" s="125"/>
      <c r="J4320" s="125"/>
      <c r="K4320" s="125"/>
      <c r="L4320" s="121"/>
      <c r="M4320" s="126"/>
      <c r="N4320" s="121"/>
    </row>
    <row r="4321" spans="1:14" x14ac:dyDescent="0.25">
      <c r="A4321" s="121" t="s">
        <v>99</v>
      </c>
      <c r="B4321" s="121" t="s">
        <v>101</v>
      </c>
      <c r="C4321" s="62">
        <f>VLOOKUP(B4321,合并仓明细!$D$2:$F$74,3,0)</f>
        <v>93</v>
      </c>
      <c r="D4321" s="122" t="s">
        <v>393</v>
      </c>
      <c r="E4321" s="123">
        <v>45993</v>
      </c>
      <c r="F4321" s="121" t="s">
        <v>66</v>
      </c>
      <c r="G4321" s="121">
        <v>658.87999999999988</v>
      </c>
      <c r="H4321" s="124"/>
      <c r="I4321" s="125"/>
      <c r="J4321" s="125"/>
      <c r="K4321" s="125"/>
      <c r="L4321" s="121"/>
      <c r="M4321" s="126"/>
      <c r="N4321" s="121"/>
    </row>
    <row r="4322" spans="1:14" x14ac:dyDescent="0.25">
      <c r="A4322" s="121" t="s">
        <v>99</v>
      </c>
      <c r="B4322" s="121" t="s">
        <v>101</v>
      </c>
      <c r="C4322" s="62">
        <f>VLOOKUP(B4322,合并仓明细!$D$2:$F$74,3,0)</f>
        <v>93</v>
      </c>
      <c r="D4322" s="122" t="s">
        <v>393</v>
      </c>
      <c r="E4322" s="123">
        <v>45994</v>
      </c>
      <c r="F4322" s="121" t="s">
        <v>68</v>
      </c>
      <c r="G4322" s="121">
        <v>89.4</v>
      </c>
      <c r="H4322" s="124">
        <v>6.7670900000000005</v>
      </c>
      <c r="I4322" s="46">
        <f>ROUNDUP(H4322/30,0)*VLOOKUP(D4322,'报价表-配送'!$B$2:$I$6,8,0)</f>
        <v>0</v>
      </c>
      <c r="J4322" s="125"/>
      <c r="K4322" s="125"/>
      <c r="L4322" s="121"/>
      <c r="M4322" s="126"/>
      <c r="N4322" s="127">
        <f t="shared" ref="N4322" si="509">SUM(I4322:L4322)</f>
        <v>0</v>
      </c>
    </row>
    <row r="4323" spans="1:14" x14ac:dyDescent="0.25">
      <c r="A4323" s="121" t="s">
        <v>99</v>
      </c>
      <c r="B4323" s="121" t="s">
        <v>101</v>
      </c>
      <c r="C4323" s="62">
        <f>VLOOKUP(B4323,合并仓明细!$D$2:$F$74,3,0)</f>
        <v>93</v>
      </c>
      <c r="D4323" s="122" t="s">
        <v>393</v>
      </c>
      <c r="E4323" s="123">
        <v>45994</v>
      </c>
      <c r="F4323" s="121" t="s">
        <v>67</v>
      </c>
      <c r="G4323" s="121">
        <v>6071.81</v>
      </c>
      <c r="H4323" s="124"/>
      <c r="I4323" s="125"/>
      <c r="J4323" s="125"/>
      <c r="K4323" s="125"/>
      <c r="L4323" s="121"/>
      <c r="M4323" s="126"/>
      <c r="N4323" s="121"/>
    </row>
    <row r="4324" spans="1:14" x14ac:dyDescent="0.25">
      <c r="A4324" s="121" t="s">
        <v>99</v>
      </c>
      <c r="B4324" s="121" t="s">
        <v>101</v>
      </c>
      <c r="C4324" s="62">
        <f>VLOOKUP(B4324,合并仓明细!$D$2:$F$74,3,0)</f>
        <v>93</v>
      </c>
      <c r="D4324" s="122" t="s">
        <v>393</v>
      </c>
      <c r="E4324" s="123">
        <v>45994</v>
      </c>
      <c r="F4324" s="121" t="s">
        <v>66</v>
      </c>
      <c r="G4324" s="121">
        <v>605.88</v>
      </c>
      <c r="H4324" s="124"/>
      <c r="I4324" s="125"/>
      <c r="J4324" s="125"/>
      <c r="K4324" s="125"/>
      <c r="L4324" s="121"/>
      <c r="M4324" s="126"/>
      <c r="N4324" s="121"/>
    </row>
    <row r="4325" spans="1:14" x14ac:dyDescent="0.25">
      <c r="A4325" s="121" t="s">
        <v>99</v>
      </c>
      <c r="B4325" s="121" t="s">
        <v>101</v>
      </c>
      <c r="C4325" s="62">
        <f>VLOOKUP(B4325,合并仓明细!$D$2:$F$74,3,0)</f>
        <v>93</v>
      </c>
      <c r="D4325" s="122" t="s">
        <v>393</v>
      </c>
      <c r="E4325" s="123">
        <v>45995</v>
      </c>
      <c r="F4325" s="121" t="s">
        <v>68</v>
      </c>
      <c r="G4325" s="121">
        <v>4052.18</v>
      </c>
      <c r="H4325" s="124">
        <v>5.2692700000000006</v>
      </c>
      <c r="I4325" s="46">
        <f>ROUNDUP(H4325/30,0)*VLOOKUP(D4325,'报价表-配送'!$B$2:$I$6,8,0)</f>
        <v>0</v>
      </c>
      <c r="J4325" s="125"/>
      <c r="K4325" s="125"/>
      <c r="L4325" s="121"/>
      <c r="M4325" s="126"/>
      <c r="N4325" s="127">
        <f t="shared" ref="N4325" si="510">SUM(I4325:L4325)</f>
        <v>0</v>
      </c>
    </row>
    <row r="4326" spans="1:14" x14ac:dyDescent="0.25">
      <c r="A4326" s="121" t="s">
        <v>99</v>
      </c>
      <c r="B4326" s="121" t="s">
        <v>101</v>
      </c>
      <c r="C4326" s="62">
        <f>VLOOKUP(B4326,合并仓明细!$D$2:$F$74,3,0)</f>
        <v>93</v>
      </c>
      <c r="D4326" s="122" t="s">
        <v>393</v>
      </c>
      <c r="E4326" s="123">
        <v>45995</v>
      </c>
      <c r="F4326" s="121" t="s">
        <v>67</v>
      </c>
      <c r="G4326" s="121">
        <v>110.03</v>
      </c>
      <c r="H4326" s="124"/>
      <c r="I4326" s="125"/>
      <c r="J4326" s="125"/>
      <c r="K4326" s="125"/>
      <c r="L4326" s="121"/>
      <c r="M4326" s="126"/>
      <c r="N4326" s="121"/>
    </row>
    <row r="4327" spans="1:14" x14ac:dyDescent="0.25">
      <c r="A4327" s="121" t="s">
        <v>99</v>
      </c>
      <c r="B4327" s="121" t="s">
        <v>101</v>
      </c>
      <c r="C4327" s="62">
        <f>VLOOKUP(B4327,合并仓明细!$D$2:$F$74,3,0)</f>
        <v>93</v>
      </c>
      <c r="D4327" s="122" t="s">
        <v>393</v>
      </c>
      <c r="E4327" s="123">
        <v>45995</v>
      </c>
      <c r="F4327" s="121" t="s">
        <v>66</v>
      </c>
      <c r="G4327" s="121">
        <v>1107.0600000000002</v>
      </c>
      <c r="H4327" s="124"/>
      <c r="I4327" s="125"/>
      <c r="J4327" s="125"/>
      <c r="K4327" s="125"/>
      <c r="L4327" s="121"/>
      <c r="M4327" s="126"/>
      <c r="N4327" s="121"/>
    </row>
    <row r="4328" spans="1:14" x14ac:dyDescent="0.25">
      <c r="A4328" s="121" t="s">
        <v>99</v>
      </c>
      <c r="B4328" s="121" t="s">
        <v>101</v>
      </c>
      <c r="C4328" s="62">
        <f>VLOOKUP(B4328,合并仓明细!$D$2:$F$74,3,0)</f>
        <v>93</v>
      </c>
      <c r="D4328" s="122" t="s">
        <v>393</v>
      </c>
      <c r="E4328" s="123">
        <v>45996</v>
      </c>
      <c r="F4328" s="121" t="s">
        <v>68</v>
      </c>
      <c r="G4328" s="121">
        <v>87.96</v>
      </c>
      <c r="H4328" s="124">
        <v>1.5237699999999998</v>
      </c>
      <c r="I4328" s="46">
        <f>ROUNDUP(H4328/30,0)*VLOOKUP(D4328,'报价表-配送'!$B$2:$I$6,8,0)</f>
        <v>0</v>
      </c>
      <c r="J4328" s="125"/>
      <c r="K4328" s="125"/>
      <c r="L4328" s="121"/>
      <c r="M4328" s="126"/>
      <c r="N4328" s="127">
        <f t="shared" ref="N4328" si="511">SUM(I4328:L4328)</f>
        <v>0</v>
      </c>
    </row>
    <row r="4329" spans="1:14" x14ac:dyDescent="0.25">
      <c r="A4329" s="121" t="s">
        <v>99</v>
      </c>
      <c r="B4329" s="121" t="s">
        <v>101</v>
      </c>
      <c r="C4329" s="62">
        <f>VLOOKUP(B4329,合并仓明细!$D$2:$F$74,3,0)</f>
        <v>93</v>
      </c>
      <c r="D4329" s="122" t="s">
        <v>393</v>
      </c>
      <c r="E4329" s="123">
        <v>45996</v>
      </c>
      <c r="F4329" s="121" t="s">
        <v>66</v>
      </c>
      <c r="G4329" s="121">
        <v>1435.8099999999997</v>
      </c>
      <c r="H4329" s="124"/>
      <c r="I4329" s="125"/>
      <c r="J4329" s="125"/>
      <c r="K4329" s="125"/>
      <c r="L4329" s="121"/>
      <c r="M4329" s="126"/>
      <c r="N4329" s="121"/>
    </row>
    <row r="4330" spans="1:14" x14ac:dyDescent="0.25">
      <c r="A4330" s="121" t="s">
        <v>99</v>
      </c>
      <c r="B4330" s="121" t="s">
        <v>101</v>
      </c>
      <c r="C4330" s="62">
        <f>VLOOKUP(B4330,合并仓明细!$D$2:$F$74,3,0)</f>
        <v>93</v>
      </c>
      <c r="D4330" s="122" t="s">
        <v>393</v>
      </c>
      <c r="E4330" s="123">
        <v>45999</v>
      </c>
      <c r="F4330" s="121" t="s">
        <v>68</v>
      </c>
      <c r="G4330" s="121">
        <v>944.51</v>
      </c>
      <c r="H4330" s="124">
        <v>3.9851000000000005</v>
      </c>
      <c r="I4330" s="46">
        <f>ROUNDUP(H4330/30,0)*VLOOKUP(D4330,'报价表-配送'!$B$2:$I$6,8,0)</f>
        <v>0</v>
      </c>
      <c r="J4330" s="125"/>
      <c r="K4330" s="125"/>
      <c r="L4330" s="121"/>
      <c r="M4330" s="126"/>
      <c r="N4330" s="127">
        <f t="shared" ref="N4330" si="512">SUM(I4330:L4330)</f>
        <v>0</v>
      </c>
    </row>
    <row r="4331" spans="1:14" x14ac:dyDescent="0.25">
      <c r="A4331" s="121" t="s">
        <v>99</v>
      </c>
      <c r="B4331" s="121" t="s">
        <v>101</v>
      </c>
      <c r="C4331" s="62">
        <f>VLOOKUP(B4331,合并仓明细!$D$2:$F$74,3,0)</f>
        <v>93</v>
      </c>
      <c r="D4331" s="122" t="s">
        <v>393</v>
      </c>
      <c r="E4331" s="123">
        <v>45999</v>
      </c>
      <c r="F4331" s="121" t="s">
        <v>67</v>
      </c>
      <c r="G4331" s="121">
        <v>1263.17</v>
      </c>
      <c r="H4331" s="124"/>
      <c r="I4331" s="125"/>
      <c r="J4331" s="125"/>
      <c r="K4331" s="125"/>
      <c r="L4331" s="121"/>
      <c r="M4331" s="126"/>
      <c r="N4331" s="121"/>
    </row>
    <row r="4332" spans="1:14" x14ac:dyDescent="0.25">
      <c r="A4332" s="121" t="s">
        <v>99</v>
      </c>
      <c r="B4332" s="121" t="s">
        <v>101</v>
      </c>
      <c r="C4332" s="62">
        <f>VLOOKUP(B4332,合并仓明细!$D$2:$F$74,3,0)</f>
        <v>93</v>
      </c>
      <c r="D4332" s="122" t="s">
        <v>393</v>
      </c>
      <c r="E4332" s="123">
        <v>45999</v>
      </c>
      <c r="F4332" s="121" t="s">
        <v>66</v>
      </c>
      <c r="G4332" s="121">
        <v>1777.4200000000003</v>
      </c>
      <c r="H4332" s="124"/>
      <c r="I4332" s="125"/>
      <c r="J4332" s="125"/>
      <c r="K4332" s="125"/>
      <c r="L4332" s="121"/>
      <c r="M4332" s="126"/>
      <c r="N4332" s="121"/>
    </row>
    <row r="4333" spans="1:14" x14ac:dyDescent="0.25">
      <c r="A4333" s="121" t="s">
        <v>99</v>
      </c>
      <c r="B4333" s="121" t="s">
        <v>101</v>
      </c>
      <c r="C4333" s="62">
        <f>VLOOKUP(B4333,合并仓明细!$D$2:$F$74,3,0)</f>
        <v>93</v>
      </c>
      <c r="D4333" s="122" t="s">
        <v>393</v>
      </c>
      <c r="E4333" s="123">
        <v>46000</v>
      </c>
      <c r="F4333" s="121" t="s">
        <v>68</v>
      </c>
      <c r="G4333" s="121">
        <v>1377.72</v>
      </c>
      <c r="H4333" s="124">
        <v>7.6200299999999999</v>
      </c>
      <c r="I4333" s="46">
        <f>ROUNDUP(H4333/30,0)*VLOOKUP(D4333,'报价表-配送'!$B$2:$I$6,8,0)</f>
        <v>0</v>
      </c>
      <c r="J4333" s="125"/>
      <c r="K4333" s="125"/>
      <c r="L4333" s="121"/>
      <c r="M4333" s="126"/>
      <c r="N4333" s="127">
        <f t="shared" ref="N4333" si="513">SUM(I4333:L4333)</f>
        <v>0</v>
      </c>
    </row>
    <row r="4334" spans="1:14" x14ac:dyDescent="0.25">
      <c r="A4334" s="121" t="s">
        <v>99</v>
      </c>
      <c r="B4334" s="121" t="s">
        <v>101</v>
      </c>
      <c r="C4334" s="62">
        <f>VLOOKUP(B4334,合并仓明细!$D$2:$F$74,3,0)</f>
        <v>93</v>
      </c>
      <c r="D4334" s="122" t="s">
        <v>393</v>
      </c>
      <c r="E4334" s="123">
        <v>46000</v>
      </c>
      <c r="F4334" s="121" t="s">
        <v>67</v>
      </c>
      <c r="G4334" s="121">
        <v>5575.7999999999993</v>
      </c>
      <c r="H4334" s="124"/>
      <c r="I4334" s="125"/>
      <c r="J4334" s="125"/>
      <c r="K4334" s="125"/>
      <c r="L4334" s="121"/>
      <c r="M4334" s="126"/>
      <c r="N4334" s="121"/>
    </row>
    <row r="4335" spans="1:14" x14ac:dyDescent="0.25">
      <c r="A4335" s="121" t="s">
        <v>99</v>
      </c>
      <c r="B4335" s="121" t="s">
        <v>101</v>
      </c>
      <c r="C4335" s="62">
        <f>VLOOKUP(B4335,合并仓明细!$D$2:$F$74,3,0)</f>
        <v>93</v>
      </c>
      <c r="D4335" s="122" t="s">
        <v>393</v>
      </c>
      <c r="E4335" s="123">
        <v>46000</v>
      </c>
      <c r="F4335" s="121" t="s">
        <v>66</v>
      </c>
      <c r="G4335" s="121">
        <v>666.5100000000001</v>
      </c>
      <c r="H4335" s="124"/>
      <c r="I4335" s="125"/>
      <c r="J4335" s="125"/>
      <c r="K4335" s="125"/>
      <c r="L4335" s="121"/>
      <c r="M4335" s="126"/>
      <c r="N4335" s="121"/>
    </row>
    <row r="4336" spans="1:14" x14ac:dyDescent="0.25">
      <c r="A4336" s="121" t="s">
        <v>99</v>
      </c>
      <c r="B4336" s="121" t="s">
        <v>101</v>
      </c>
      <c r="C4336" s="62">
        <f>VLOOKUP(B4336,合并仓明细!$D$2:$F$74,3,0)</f>
        <v>93</v>
      </c>
      <c r="D4336" s="122" t="s">
        <v>393</v>
      </c>
      <c r="E4336" s="123">
        <v>46001</v>
      </c>
      <c r="F4336" s="121" t="s">
        <v>68</v>
      </c>
      <c r="G4336" s="121">
        <v>3895.59</v>
      </c>
      <c r="H4336" s="124">
        <v>24.78088</v>
      </c>
      <c r="I4336" s="46">
        <f>ROUNDUP(H4336/30,0)*VLOOKUP(D4336,'报价表-配送'!$B$2:$I$6,8,0)</f>
        <v>0</v>
      </c>
      <c r="J4336" s="125"/>
      <c r="K4336" s="125"/>
      <c r="L4336" s="121"/>
      <c r="M4336" s="126"/>
      <c r="N4336" s="127">
        <f t="shared" ref="N4336" si="514">SUM(I4336:L4336)</f>
        <v>0</v>
      </c>
    </row>
    <row r="4337" spans="1:14" x14ac:dyDescent="0.25">
      <c r="A4337" s="121" t="s">
        <v>99</v>
      </c>
      <c r="B4337" s="121" t="s">
        <v>101</v>
      </c>
      <c r="C4337" s="62">
        <f>VLOOKUP(B4337,合并仓明细!$D$2:$F$74,3,0)</f>
        <v>93</v>
      </c>
      <c r="D4337" s="122" t="s">
        <v>393</v>
      </c>
      <c r="E4337" s="123">
        <v>46001</v>
      </c>
      <c r="F4337" s="121" t="s">
        <v>67</v>
      </c>
      <c r="G4337" s="121">
        <v>18199.66</v>
      </c>
      <c r="H4337" s="124"/>
      <c r="I4337" s="125"/>
      <c r="J4337" s="125"/>
      <c r="K4337" s="125"/>
      <c r="L4337" s="121"/>
      <c r="M4337" s="126"/>
      <c r="N4337" s="121"/>
    </row>
    <row r="4338" spans="1:14" x14ac:dyDescent="0.25">
      <c r="A4338" s="121" t="s">
        <v>99</v>
      </c>
      <c r="B4338" s="121" t="s">
        <v>101</v>
      </c>
      <c r="C4338" s="62">
        <f>VLOOKUP(B4338,合并仓明细!$D$2:$F$74,3,0)</f>
        <v>93</v>
      </c>
      <c r="D4338" s="122" t="s">
        <v>393</v>
      </c>
      <c r="E4338" s="123">
        <v>46001</v>
      </c>
      <c r="F4338" s="121" t="s">
        <v>66</v>
      </c>
      <c r="G4338" s="121">
        <v>2685.6300000000006</v>
      </c>
      <c r="H4338" s="124"/>
      <c r="I4338" s="125"/>
      <c r="J4338" s="125"/>
      <c r="K4338" s="125"/>
      <c r="L4338" s="121"/>
      <c r="M4338" s="126"/>
      <c r="N4338" s="121"/>
    </row>
    <row r="4339" spans="1:14" x14ac:dyDescent="0.25">
      <c r="A4339" s="121" t="s">
        <v>99</v>
      </c>
      <c r="B4339" s="121" t="s">
        <v>101</v>
      </c>
      <c r="C4339" s="62">
        <f>VLOOKUP(B4339,合并仓明细!$D$2:$F$74,3,0)</f>
        <v>93</v>
      </c>
      <c r="D4339" s="122" t="s">
        <v>393</v>
      </c>
      <c r="E4339" s="123">
        <v>46002</v>
      </c>
      <c r="F4339" s="121" t="s">
        <v>67</v>
      </c>
      <c r="G4339" s="121">
        <v>31924.839999999997</v>
      </c>
      <c r="H4339" s="124">
        <v>32.867269999999998</v>
      </c>
      <c r="I4339" s="38">
        <f>IF(H4339&gt;30,QUOTIENT(H4339,30)*VLOOKUP(D4339,'报价表-配送'!$B$2:$I$6,8,0),0)+IF(AND(MOD(H4339,30)&gt;18,MOD(H4339,30)&lt;=30),1,0)*VLOOKUP(D4339,'报价表-配送'!$B$2:$I$6,8,0)</f>
        <v>0</v>
      </c>
      <c r="J4339" s="38">
        <f>IF(AND(MOD(H4339,30)&gt;8,MOD(H4339,30)&lt;=18),1*VLOOKUP(D4339,'报价表-配送'!$B$2:$I$6,7,0),0)</f>
        <v>0</v>
      </c>
      <c r="K4339" s="38">
        <f>IF(AND(MOD(H4339,30)&lt;=8,MOD(H4339,30)&gt;0),1,0)*VLOOKUP(D4339,'报价表-配送'!$B$2:$I$6,6,0)</f>
        <v>0</v>
      </c>
      <c r="L4339" s="121"/>
      <c r="M4339" s="126"/>
      <c r="N4339" s="127">
        <f t="shared" ref="N4339" si="515">SUM(I4339:L4339)</f>
        <v>0</v>
      </c>
    </row>
    <row r="4340" spans="1:14" x14ac:dyDescent="0.25">
      <c r="A4340" s="121" t="s">
        <v>99</v>
      </c>
      <c r="B4340" s="121" t="s">
        <v>101</v>
      </c>
      <c r="C4340" s="62">
        <f>VLOOKUP(B4340,合并仓明细!$D$2:$F$74,3,0)</f>
        <v>93</v>
      </c>
      <c r="D4340" s="122" t="s">
        <v>393</v>
      </c>
      <c r="E4340" s="123">
        <v>46002</v>
      </c>
      <c r="F4340" s="121" t="s">
        <v>66</v>
      </c>
      <c r="G4340" s="121">
        <v>942.43</v>
      </c>
      <c r="H4340" s="124"/>
      <c r="I4340" s="125"/>
      <c r="J4340" s="125"/>
      <c r="K4340" s="125"/>
      <c r="L4340" s="121"/>
      <c r="M4340" s="126"/>
      <c r="N4340" s="121"/>
    </row>
    <row r="4341" spans="1:14" x14ac:dyDescent="0.25">
      <c r="A4341" s="121" t="s">
        <v>99</v>
      </c>
      <c r="B4341" s="121" t="s">
        <v>101</v>
      </c>
      <c r="C4341" s="62">
        <f>VLOOKUP(B4341,合并仓明细!$D$2:$F$74,3,0)</f>
        <v>93</v>
      </c>
      <c r="D4341" s="122" t="s">
        <v>393</v>
      </c>
      <c r="E4341" s="123">
        <v>46003</v>
      </c>
      <c r="F4341" s="121" t="s">
        <v>68</v>
      </c>
      <c r="G4341" s="121">
        <v>518.95999999999992</v>
      </c>
      <c r="H4341" s="124">
        <v>2.9562600000000003</v>
      </c>
      <c r="I4341" s="46">
        <f>ROUNDUP(H4341/30,0)*VLOOKUP(D4341,'报价表-配送'!$B$2:$I$6,8,0)</f>
        <v>0</v>
      </c>
      <c r="J4341" s="125"/>
      <c r="K4341" s="125"/>
      <c r="L4341" s="121"/>
      <c r="M4341" s="126"/>
      <c r="N4341" s="127">
        <f t="shared" ref="N4341" si="516">SUM(I4341:L4341)</f>
        <v>0</v>
      </c>
    </row>
    <row r="4342" spans="1:14" x14ac:dyDescent="0.25">
      <c r="A4342" s="121" t="s">
        <v>99</v>
      </c>
      <c r="B4342" s="121" t="s">
        <v>101</v>
      </c>
      <c r="C4342" s="62">
        <f>VLOOKUP(B4342,合并仓明细!$D$2:$F$74,3,0)</f>
        <v>93</v>
      </c>
      <c r="D4342" s="122" t="s">
        <v>393</v>
      </c>
      <c r="E4342" s="123">
        <v>46003</v>
      </c>
      <c r="F4342" s="121" t="s">
        <v>67</v>
      </c>
      <c r="G4342" s="121">
        <v>680.83</v>
      </c>
      <c r="H4342" s="124"/>
      <c r="I4342" s="125"/>
      <c r="J4342" s="125"/>
      <c r="K4342" s="125"/>
      <c r="L4342" s="121"/>
      <c r="M4342" s="126"/>
      <c r="N4342" s="121"/>
    </row>
    <row r="4343" spans="1:14" x14ac:dyDescent="0.25">
      <c r="A4343" s="121" t="s">
        <v>99</v>
      </c>
      <c r="B4343" s="121" t="s">
        <v>101</v>
      </c>
      <c r="C4343" s="62">
        <f>VLOOKUP(B4343,合并仓明细!$D$2:$F$74,3,0)</f>
        <v>93</v>
      </c>
      <c r="D4343" s="122" t="s">
        <v>393</v>
      </c>
      <c r="E4343" s="123">
        <v>46003</v>
      </c>
      <c r="F4343" s="121" t="s">
        <v>66</v>
      </c>
      <c r="G4343" s="121">
        <v>1756.4700000000003</v>
      </c>
      <c r="H4343" s="124"/>
      <c r="I4343" s="125"/>
      <c r="J4343" s="125"/>
      <c r="K4343" s="125"/>
      <c r="L4343" s="121"/>
      <c r="M4343" s="126"/>
      <c r="N4343" s="121"/>
    </row>
    <row r="4344" spans="1:14" x14ac:dyDescent="0.25">
      <c r="A4344" s="121" t="s">
        <v>99</v>
      </c>
      <c r="B4344" s="121" t="s">
        <v>101</v>
      </c>
      <c r="C4344" s="62">
        <f>VLOOKUP(B4344,合并仓明细!$D$2:$F$74,3,0)</f>
        <v>93</v>
      </c>
      <c r="D4344" s="122" t="s">
        <v>393</v>
      </c>
      <c r="E4344" s="123">
        <v>46006</v>
      </c>
      <c r="F4344" s="121" t="s">
        <v>66</v>
      </c>
      <c r="G4344" s="121">
        <v>126.11999999999999</v>
      </c>
      <c r="H4344" s="124">
        <v>0.12611999999999998</v>
      </c>
      <c r="I4344" s="125"/>
      <c r="J4344" s="125"/>
      <c r="K4344" s="125"/>
      <c r="L4344" s="37">
        <f>IF(H4344&gt;30,QUOTIENT(H4344,30)*VLOOKUP(D4344,'报价表-配送'!$B$2:$I$6,8,0),0)+IF(AND(MOD(H4344,30)&gt;18,MOD(H4344,30)&lt;=30),1,0)*VLOOKUP(D4344,'报价表-配送'!$B$2:$I$6,8,0)+IF(AND(MOD(H4344,30)&gt;8,MOD(H4344,30)&lt;=18),1*VLOOKUP(D4344,'报价表-配送'!$B$2:$I$6,7,0),0)+IF(AND(MOD(H4344,30)&lt;=8,MOD(H4344,30)&gt;2.5),1,0)*VLOOKUP(D4344,'报价表-配送'!$B$2:$I$6,6,0)+IF(AND(MOD(H4344,30)&lt;=2.5,MOD(H4344,30)&gt;=1.5),1,0)*VLOOKUP(D4344,'报价表-配送'!$B$2:$I$6,5,0)</f>
        <v>0</v>
      </c>
      <c r="M4344" s="39">
        <f>IF(AND(MOD(H4344,30)&lt;1.5,MOD(H4344,30)&gt;=0.5),H4344,0)*VLOOKUP(D4344,'报价表-配送'!$B$2:$I$6,4,0)*1000+IF(AND(MOD(H4344,30)&lt;0.5,MOD(H4344,30)&gt;=0.02),H4344,0)*VLOOKUP(D4344,'报价表-配送'!$B$2:$I$6,3,0)*1000+IF(AND(MOD(H4344,30)&lt;0.02),H4344,0)*VLOOKUP(D4344,'报价表-配送'!$B$2:$I$6,2,0)*1000</f>
        <v>0</v>
      </c>
      <c r="N4344" s="127">
        <f t="shared" ref="N4344:N4345" si="517">SUM(I4344:L4344)</f>
        <v>0</v>
      </c>
    </row>
    <row r="4345" spans="1:14" x14ac:dyDescent="0.25">
      <c r="A4345" s="121" t="s">
        <v>99</v>
      </c>
      <c r="B4345" s="121" t="s">
        <v>101</v>
      </c>
      <c r="C4345" s="62">
        <f>VLOOKUP(B4345,合并仓明细!$D$2:$F$74,3,0)</f>
        <v>93</v>
      </c>
      <c r="D4345" s="122" t="s">
        <v>393</v>
      </c>
      <c r="E4345" s="123">
        <v>46007</v>
      </c>
      <c r="F4345" s="121" t="s">
        <v>68</v>
      </c>
      <c r="G4345" s="121">
        <v>1303.94</v>
      </c>
      <c r="H4345" s="124">
        <v>3.1294400000000002</v>
      </c>
      <c r="I4345" s="46">
        <f>ROUNDUP(H4345/30,0)*VLOOKUP(D4345,'报价表-配送'!$B$2:$I$6,8,0)</f>
        <v>0</v>
      </c>
      <c r="J4345" s="125"/>
      <c r="K4345" s="125"/>
      <c r="L4345" s="121"/>
      <c r="M4345" s="126"/>
      <c r="N4345" s="127">
        <f t="shared" si="517"/>
        <v>0</v>
      </c>
    </row>
    <row r="4346" spans="1:14" x14ac:dyDescent="0.25">
      <c r="A4346" s="121" t="s">
        <v>99</v>
      </c>
      <c r="B4346" s="121" t="s">
        <v>101</v>
      </c>
      <c r="C4346" s="62">
        <f>VLOOKUP(B4346,合并仓明细!$D$2:$F$74,3,0)</f>
        <v>93</v>
      </c>
      <c r="D4346" s="122" t="s">
        <v>393</v>
      </c>
      <c r="E4346" s="123">
        <v>46007</v>
      </c>
      <c r="F4346" s="121" t="s">
        <v>67</v>
      </c>
      <c r="G4346" s="121">
        <v>1466.17</v>
      </c>
      <c r="H4346" s="124"/>
      <c r="I4346" s="125"/>
      <c r="J4346" s="125"/>
      <c r="K4346" s="125"/>
      <c r="L4346" s="121"/>
      <c r="M4346" s="126"/>
      <c r="N4346" s="121"/>
    </row>
    <row r="4347" spans="1:14" x14ac:dyDescent="0.25">
      <c r="A4347" s="121" t="s">
        <v>99</v>
      </c>
      <c r="B4347" s="121" t="s">
        <v>101</v>
      </c>
      <c r="C4347" s="62">
        <f>VLOOKUP(B4347,合并仓明细!$D$2:$F$74,3,0)</f>
        <v>93</v>
      </c>
      <c r="D4347" s="122" t="s">
        <v>393</v>
      </c>
      <c r="E4347" s="123">
        <v>46007</v>
      </c>
      <c r="F4347" s="121" t="s">
        <v>66</v>
      </c>
      <c r="G4347" s="121">
        <v>359.33</v>
      </c>
      <c r="H4347" s="124"/>
      <c r="I4347" s="125"/>
      <c r="J4347" s="125"/>
      <c r="K4347" s="125"/>
      <c r="L4347" s="121"/>
      <c r="M4347" s="126"/>
      <c r="N4347" s="121"/>
    </row>
    <row r="4348" spans="1:14" x14ac:dyDescent="0.25">
      <c r="A4348" s="121" t="s">
        <v>99</v>
      </c>
      <c r="B4348" s="121" t="s">
        <v>101</v>
      </c>
      <c r="C4348" s="62">
        <f>VLOOKUP(B4348,合并仓明细!$D$2:$F$74,3,0)</f>
        <v>93</v>
      </c>
      <c r="D4348" s="122" t="s">
        <v>393</v>
      </c>
      <c r="E4348" s="123">
        <v>46008</v>
      </c>
      <c r="F4348" s="121" t="s">
        <v>67</v>
      </c>
      <c r="G4348" s="121">
        <v>2459.2000000000003</v>
      </c>
      <c r="H4348" s="124">
        <v>2.8190200000000005</v>
      </c>
      <c r="I4348" s="38">
        <f>IF(H4348&gt;30,QUOTIENT(H4348,30)*VLOOKUP(D4348,'报价表-配送'!$B$2:$I$6,8,0),0)+IF(AND(MOD(H4348,30)&gt;18,MOD(H4348,30)&lt;=30),1,0)*VLOOKUP(D4348,'报价表-配送'!$B$2:$I$6,8,0)</f>
        <v>0</v>
      </c>
      <c r="J4348" s="38">
        <f>IF(AND(MOD(H4348,30)&gt;8,MOD(H4348,30)&lt;=18),1*VLOOKUP(D4348,'报价表-配送'!$B$2:$I$6,7,0),0)</f>
        <v>0</v>
      </c>
      <c r="K4348" s="38">
        <f>IF(AND(MOD(H4348,30)&lt;=8,MOD(H4348,30)&gt;0),1,0)*VLOOKUP(D4348,'报价表-配送'!$B$2:$I$6,6,0)</f>
        <v>0</v>
      </c>
      <c r="L4348" s="121"/>
      <c r="M4348" s="126"/>
      <c r="N4348" s="127">
        <f t="shared" ref="N4348" si="518">SUM(I4348:L4348)</f>
        <v>0</v>
      </c>
    </row>
    <row r="4349" spans="1:14" x14ac:dyDescent="0.25">
      <c r="A4349" s="121" t="s">
        <v>99</v>
      </c>
      <c r="B4349" s="121" t="s">
        <v>101</v>
      </c>
      <c r="C4349" s="62">
        <f>VLOOKUP(B4349,合并仓明细!$D$2:$F$74,3,0)</f>
        <v>93</v>
      </c>
      <c r="D4349" s="122" t="s">
        <v>393</v>
      </c>
      <c r="E4349" s="123">
        <v>46008</v>
      </c>
      <c r="F4349" s="121" t="s">
        <v>66</v>
      </c>
      <c r="G4349" s="121">
        <v>359.82</v>
      </c>
      <c r="H4349" s="124"/>
      <c r="I4349" s="125"/>
      <c r="J4349" s="125"/>
      <c r="K4349" s="125"/>
      <c r="L4349" s="121"/>
      <c r="M4349" s="126"/>
      <c r="N4349" s="121"/>
    </row>
    <row r="4350" spans="1:14" x14ac:dyDescent="0.25">
      <c r="A4350" s="121" t="s">
        <v>99</v>
      </c>
      <c r="B4350" s="121" t="s">
        <v>101</v>
      </c>
      <c r="C4350" s="62">
        <f>VLOOKUP(B4350,合并仓明细!$D$2:$F$74,3,0)</f>
        <v>93</v>
      </c>
      <c r="D4350" s="122" t="s">
        <v>393</v>
      </c>
      <c r="E4350" s="123">
        <v>46009</v>
      </c>
      <c r="F4350" s="121" t="s">
        <v>67</v>
      </c>
      <c r="G4350" s="121">
        <v>3189.4199999999996</v>
      </c>
      <c r="H4350" s="124">
        <v>3.8518399999999993</v>
      </c>
      <c r="I4350" s="38">
        <f>IF(H4350&gt;30,QUOTIENT(H4350,30)*VLOOKUP(D4350,'报价表-配送'!$B$2:$I$6,8,0),0)+IF(AND(MOD(H4350,30)&gt;18,MOD(H4350,30)&lt;=30),1,0)*VLOOKUP(D4350,'报价表-配送'!$B$2:$I$6,8,0)</f>
        <v>0</v>
      </c>
      <c r="J4350" s="38">
        <f>IF(AND(MOD(H4350,30)&gt;8,MOD(H4350,30)&lt;=18),1*VLOOKUP(D4350,'报价表-配送'!$B$2:$I$6,7,0),0)</f>
        <v>0</v>
      </c>
      <c r="K4350" s="38">
        <f>IF(AND(MOD(H4350,30)&lt;=8,MOD(H4350,30)&gt;0),1,0)*VLOOKUP(D4350,'报价表-配送'!$B$2:$I$6,6,0)</f>
        <v>0</v>
      </c>
      <c r="L4350" s="121"/>
      <c r="M4350" s="126"/>
      <c r="N4350" s="127">
        <f t="shared" ref="N4350" si="519">SUM(I4350:L4350)</f>
        <v>0</v>
      </c>
    </row>
    <row r="4351" spans="1:14" x14ac:dyDescent="0.25">
      <c r="A4351" s="121" t="s">
        <v>99</v>
      </c>
      <c r="B4351" s="121" t="s">
        <v>101</v>
      </c>
      <c r="C4351" s="62">
        <f>VLOOKUP(B4351,合并仓明细!$D$2:$F$74,3,0)</f>
        <v>93</v>
      </c>
      <c r="D4351" s="122" t="s">
        <v>393</v>
      </c>
      <c r="E4351" s="123">
        <v>46009</v>
      </c>
      <c r="F4351" s="121" t="s">
        <v>66</v>
      </c>
      <c r="G4351" s="121">
        <v>662.41999999999985</v>
      </c>
      <c r="H4351" s="124"/>
      <c r="I4351" s="125"/>
      <c r="J4351" s="125"/>
      <c r="K4351" s="125"/>
      <c r="L4351" s="121"/>
      <c r="M4351" s="126"/>
      <c r="N4351" s="121"/>
    </row>
    <row r="4352" spans="1:14" x14ac:dyDescent="0.25">
      <c r="A4352" s="121" t="s">
        <v>99</v>
      </c>
      <c r="B4352" s="121" t="s">
        <v>101</v>
      </c>
      <c r="C4352" s="62">
        <f>VLOOKUP(B4352,合并仓明细!$D$2:$F$74,3,0)</f>
        <v>93</v>
      </c>
      <c r="D4352" s="122" t="s">
        <v>393</v>
      </c>
      <c r="E4352" s="123">
        <v>46010</v>
      </c>
      <c r="F4352" s="121" t="s">
        <v>66</v>
      </c>
      <c r="G4352" s="121">
        <v>1087.7</v>
      </c>
      <c r="H4352" s="124">
        <v>1.0877000000000001</v>
      </c>
      <c r="I4352" s="125"/>
      <c r="J4352" s="125"/>
      <c r="K4352" s="125"/>
      <c r="L4352" s="37">
        <f>IF(H4352&gt;30,QUOTIENT(H4352,30)*VLOOKUP(D4352,'报价表-配送'!$B$2:$I$6,8,0),0)+IF(AND(MOD(H4352,30)&gt;18,MOD(H4352,30)&lt;=30),1,0)*VLOOKUP(D4352,'报价表-配送'!$B$2:$I$6,8,0)+IF(AND(MOD(H4352,30)&gt;8,MOD(H4352,30)&lt;=18),1*VLOOKUP(D4352,'报价表-配送'!$B$2:$I$6,7,0),0)+IF(AND(MOD(H4352,30)&lt;=8,MOD(H4352,30)&gt;2.5),1,0)*VLOOKUP(D4352,'报价表-配送'!$B$2:$I$6,6,0)+IF(AND(MOD(H4352,30)&lt;=2.5,MOD(H4352,30)&gt;=1.5),1,0)*VLOOKUP(D4352,'报价表-配送'!$B$2:$I$6,5,0)</f>
        <v>0</v>
      </c>
      <c r="M4352" s="39">
        <f>IF(AND(MOD(H4352,30)&lt;1.5,MOD(H4352,30)&gt;=0.5),H4352,0)*VLOOKUP(D4352,'报价表-配送'!$B$2:$I$6,4,0)*1000+IF(AND(MOD(H4352,30)&lt;0.5,MOD(H4352,30)&gt;=0.02),H4352,0)*VLOOKUP(D4352,'报价表-配送'!$B$2:$I$6,3,0)*1000+IF(AND(MOD(H4352,30)&lt;0.02),H4352,0)*VLOOKUP(D4352,'报价表-配送'!$B$2:$I$6,2,0)*1000</f>
        <v>0</v>
      </c>
      <c r="N4352" s="127">
        <f t="shared" ref="N4352:N4353" si="520">SUM(I4352:L4352)</f>
        <v>0</v>
      </c>
    </row>
    <row r="4353" spans="1:14" x14ac:dyDescent="0.25">
      <c r="A4353" s="121" t="s">
        <v>99</v>
      </c>
      <c r="B4353" s="121" t="s">
        <v>101</v>
      </c>
      <c r="C4353" s="62">
        <f>VLOOKUP(B4353,合并仓明细!$D$2:$F$74,3,0)</f>
        <v>93</v>
      </c>
      <c r="D4353" s="122" t="s">
        <v>393</v>
      </c>
      <c r="E4353" s="123">
        <v>46013</v>
      </c>
      <c r="F4353" s="121" t="s">
        <v>68</v>
      </c>
      <c r="G4353" s="121">
        <v>387.02</v>
      </c>
      <c r="H4353" s="124">
        <v>4.4909300000000005</v>
      </c>
      <c r="I4353" s="46">
        <f>ROUNDUP(H4353/30,0)*VLOOKUP(D4353,'报价表-配送'!$B$2:$I$6,8,0)</f>
        <v>0</v>
      </c>
      <c r="J4353" s="125"/>
      <c r="K4353" s="125"/>
      <c r="L4353" s="121"/>
      <c r="M4353" s="126"/>
      <c r="N4353" s="127">
        <f t="shared" si="520"/>
        <v>0</v>
      </c>
    </row>
    <row r="4354" spans="1:14" x14ac:dyDescent="0.25">
      <c r="A4354" s="121" t="s">
        <v>99</v>
      </c>
      <c r="B4354" s="121" t="s">
        <v>101</v>
      </c>
      <c r="C4354" s="62">
        <f>VLOOKUP(B4354,合并仓明细!$D$2:$F$74,3,0)</f>
        <v>93</v>
      </c>
      <c r="D4354" s="122" t="s">
        <v>393</v>
      </c>
      <c r="E4354" s="123">
        <v>46013</v>
      </c>
      <c r="F4354" s="121" t="s">
        <v>67</v>
      </c>
      <c r="G4354" s="121">
        <v>3553.69</v>
      </c>
      <c r="H4354" s="124"/>
      <c r="I4354" s="125"/>
      <c r="J4354" s="125"/>
      <c r="K4354" s="125"/>
      <c r="L4354" s="121"/>
      <c r="M4354" s="126"/>
      <c r="N4354" s="121"/>
    </row>
    <row r="4355" spans="1:14" x14ac:dyDescent="0.25">
      <c r="A4355" s="121" t="s">
        <v>99</v>
      </c>
      <c r="B4355" s="121" t="s">
        <v>101</v>
      </c>
      <c r="C4355" s="62">
        <f>VLOOKUP(B4355,合并仓明细!$D$2:$F$74,3,0)</f>
        <v>93</v>
      </c>
      <c r="D4355" s="122" t="s">
        <v>393</v>
      </c>
      <c r="E4355" s="123">
        <v>46013</v>
      </c>
      <c r="F4355" s="121" t="s">
        <v>66</v>
      </c>
      <c r="G4355" s="121">
        <v>550.21999999999991</v>
      </c>
      <c r="H4355" s="124"/>
      <c r="I4355" s="125"/>
      <c r="J4355" s="125"/>
      <c r="K4355" s="125"/>
      <c r="L4355" s="121"/>
      <c r="M4355" s="126"/>
      <c r="N4355" s="121"/>
    </row>
    <row r="4356" spans="1:14" x14ac:dyDescent="0.25">
      <c r="A4356" s="121" t="s">
        <v>99</v>
      </c>
      <c r="B4356" s="121" t="s">
        <v>101</v>
      </c>
      <c r="C4356" s="62">
        <f>VLOOKUP(B4356,合并仓明细!$D$2:$F$74,3,0)</f>
        <v>93</v>
      </c>
      <c r="D4356" s="122" t="s">
        <v>393</v>
      </c>
      <c r="E4356" s="123">
        <v>46014</v>
      </c>
      <c r="F4356" s="121" t="s">
        <v>66</v>
      </c>
      <c r="G4356" s="121">
        <v>62.319999999999993</v>
      </c>
      <c r="H4356" s="124">
        <v>6.2319999999999993E-2</v>
      </c>
      <c r="I4356" s="125"/>
      <c r="J4356" s="125"/>
      <c r="K4356" s="125"/>
      <c r="L4356" s="37">
        <f>IF(H4356&gt;30,QUOTIENT(H4356,30)*VLOOKUP(D4356,'报价表-配送'!$B$2:$I$6,8,0),0)+IF(AND(MOD(H4356,30)&gt;18,MOD(H4356,30)&lt;=30),1,0)*VLOOKUP(D4356,'报价表-配送'!$B$2:$I$6,8,0)+IF(AND(MOD(H4356,30)&gt;8,MOD(H4356,30)&lt;=18),1*VLOOKUP(D4356,'报价表-配送'!$B$2:$I$6,7,0),0)+IF(AND(MOD(H4356,30)&lt;=8,MOD(H4356,30)&gt;2.5),1,0)*VLOOKUP(D4356,'报价表-配送'!$B$2:$I$6,6,0)+IF(AND(MOD(H4356,30)&lt;=2.5,MOD(H4356,30)&gt;=1.5),1,0)*VLOOKUP(D4356,'报价表-配送'!$B$2:$I$6,5,0)</f>
        <v>0</v>
      </c>
      <c r="M4356" s="39">
        <f>IF(AND(MOD(H4356,30)&lt;1.5,MOD(H4356,30)&gt;=0.5),H4356,0)*VLOOKUP(D4356,'报价表-配送'!$B$2:$I$6,4,0)*1000+IF(AND(MOD(H4356,30)&lt;0.5,MOD(H4356,30)&gt;=0.02),H4356,0)*VLOOKUP(D4356,'报价表-配送'!$B$2:$I$6,3,0)*1000+IF(AND(MOD(H4356,30)&lt;0.02),H4356,0)*VLOOKUP(D4356,'报价表-配送'!$B$2:$I$6,2,0)*1000</f>
        <v>0</v>
      </c>
      <c r="N4356" s="127">
        <f t="shared" ref="N4356:N4358" si="521">SUM(I4356:L4356)</f>
        <v>0</v>
      </c>
    </row>
    <row r="4357" spans="1:14" x14ac:dyDescent="0.25">
      <c r="A4357" s="121" t="s">
        <v>99</v>
      </c>
      <c r="B4357" s="121" t="s">
        <v>101</v>
      </c>
      <c r="C4357" s="62">
        <f>VLOOKUP(B4357,合并仓明细!$D$2:$F$74,3,0)</f>
        <v>93</v>
      </c>
      <c r="D4357" s="122" t="s">
        <v>393</v>
      </c>
      <c r="E4357" s="123">
        <v>46015</v>
      </c>
      <c r="F4357" s="121" t="s">
        <v>66</v>
      </c>
      <c r="G4357" s="121">
        <v>757.02</v>
      </c>
      <c r="H4357" s="124">
        <v>0.75702000000000003</v>
      </c>
      <c r="I4357" s="125"/>
      <c r="J4357" s="125"/>
      <c r="K4357" s="125"/>
      <c r="L4357" s="37">
        <f>IF(H4357&gt;30,QUOTIENT(H4357,30)*VLOOKUP(D4357,'报价表-配送'!$B$2:$I$6,8,0),0)+IF(AND(MOD(H4357,30)&gt;18,MOD(H4357,30)&lt;=30),1,0)*VLOOKUP(D4357,'报价表-配送'!$B$2:$I$6,8,0)+IF(AND(MOD(H4357,30)&gt;8,MOD(H4357,30)&lt;=18),1*VLOOKUP(D4357,'报价表-配送'!$B$2:$I$6,7,0),0)+IF(AND(MOD(H4357,30)&lt;=8,MOD(H4357,30)&gt;2.5),1,0)*VLOOKUP(D4357,'报价表-配送'!$B$2:$I$6,6,0)+IF(AND(MOD(H4357,30)&lt;=2.5,MOD(H4357,30)&gt;=1.5),1,0)*VLOOKUP(D4357,'报价表-配送'!$B$2:$I$6,5,0)</f>
        <v>0</v>
      </c>
      <c r="M4357" s="39">
        <f>IF(AND(MOD(H4357,30)&lt;1.5,MOD(H4357,30)&gt;=0.5),H4357,0)*VLOOKUP(D4357,'报价表-配送'!$B$2:$I$6,4,0)*1000+IF(AND(MOD(H4357,30)&lt;0.5,MOD(H4357,30)&gt;=0.02),H4357,0)*VLOOKUP(D4357,'报价表-配送'!$B$2:$I$6,3,0)*1000+IF(AND(MOD(H4357,30)&lt;0.02),H4357,0)*VLOOKUP(D4357,'报价表-配送'!$B$2:$I$6,2,0)*1000</f>
        <v>0</v>
      </c>
      <c r="N4357" s="127">
        <f t="shared" si="521"/>
        <v>0</v>
      </c>
    </row>
    <row r="4358" spans="1:14" x14ac:dyDescent="0.25">
      <c r="A4358" s="121" t="s">
        <v>99</v>
      </c>
      <c r="B4358" s="121" t="s">
        <v>101</v>
      </c>
      <c r="C4358" s="62">
        <f>VLOOKUP(B4358,合并仓明细!$D$2:$F$74,3,0)</f>
        <v>93</v>
      </c>
      <c r="D4358" s="122" t="s">
        <v>393</v>
      </c>
      <c r="E4358" s="123">
        <v>46016</v>
      </c>
      <c r="F4358" s="121" t="s">
        <v>67</v>
      </c>
      <c r="G4358" s="121">
        <v>13719.59</v>
      </c>
      <c r="H4358" s="124">
        <v>14.687110000000001</v>
      </c>
      <c r="I4358" s="38">
        <f>IF(H4358&gt;30,QUOTIENT(H4358,30)*VLOOKUP(D4358,'报价表-配送'!$B$2:$I$6,8,0),0)+IF(AND(MOD(H4358,30)&gt;18,MOD(H4358,30)&lt;=30),1,0)*VLOOKUP(D4358,'报价表-配送'!$B$2:$I$6,8,0)</f>
        <v>0</v>
      </c>
      <c r="J4358" s="38">
        <f>IF(AND(MOD(H4358,30)&gt;8,MOD(H4358,30)&lt;=18),1*VLOOKUP(D4358,'报价表-配送'!$B$2:$I$6,7,0),0)</f>
        <v>0</v>
      </c>
      <c r="K4358" s="38">
        <f>IF(AND(MOD(H4358,30)&lt;=8,MOD(H4358,30)&gt;0),1,0)*VLOOKUP(D4358,'报价表-配送'!$B$2:$I$6,6,0)</f>
        <v>0</v>
      </c>
      <c r="L4358" s="121"/>
      <c r="M4358" s="126"/>
      <c r="N4358" s="127">
        <f t="shared" si="521"/>
        <v>0</v>
      </c>
    </row>
    <row r="4359" spans="1:14" x14ac:dyDescent="0.25">
      <c r="A4359" s="121" t="s">
        <v>99</v>
      </c>
      <c r="B4359" s="121" t="s">
        <v>101</v>
      </c>
      <c r="C4359" s="62">
        <f>VLOOKUP(B4359,合并仓明细!$D$2:$F$74,3,0)</f>
        <v>93</v>
      </c>
      <c r="D4359" s="122" t="s">
        <v>393</v>
      </c>
      <c r="E4359" s="123">
        <v>46016</v>
      </c>
      <c r="F4359" s="121" t="s">
        <v>66</v>
      </c>
      <c r="G4359" s="121">
        <v>967.52000000000032</v>
      </c>
      <c r="H4359" s="124"/>
      <c r="I4359" s="125"/>
      <c r="J4359" s="125"/>
      <c r="K4359" s="125"/>
      <c r="L4359" s="121"/>
      <c r="M4359" s="126"/>
      <c r="N4359" s="121"/>
    </row>
    <row r="4360" spans="1:14" x14ac:dyDescent="0.25">
      <c r="A4360" s="121" t="s">
        <v>99</v>
      </c>
      <c r="B4360" s="121" t="s">
        <v>101</v>
      </c>
      <c r="C4360" s="62">
        <f>VLOOKUP(B4360,合并仓明细!$D$2:$F$74,3,0)</f>
        <v>93</v>
      </c>
      <c r="D4360" s="122" t="s">
        <v>393</v>
      </c>
      <c r="E4360" s="123">
        <v>46017</v>
      </c>
      <c r="F4360" s="121" t="s">
        <v>66</v>
      </c>
      <c r="G4360" s="121">
        <v>200.33999999999997</v>
      </c>
      <c r="H4360" s="124">
        <v>0.20033999999999996</v>
      </c>
      <c r="I4360" s="125"/>
      <c r="J4360" s="125"/>
      <c r="K4360" s="125"/>
      <c r="L4360" s="37">
        <f>IF(H4360&gt;30,QUOTIENT(H4360,30)*VLOOKUP(D4360,'报价表-配送'!$B$2:$I$6,8,0),0)+IF(AND(MOD(H4360,30)&gt;18,MOD(H4360,30)&lt;=30),1,0)*VLOOKUP(D4360,'报价表-配送'!$B$2:$I$6,8,0)+IF(AND(MOD(H4360,30)&gt;8,MOD(H4360,30)&lt;=18),1*VLOOKUP(D4360,'报价表-配送'!$B$2:$I$6,7,0),0)+IF(AND(MOD(H4360,30)&lt;=8,MOD(H4360,30)&gt;2.5),1,0)*VLOOKUP(D4360,'报价表-配送'!$B$2:$I$6,6,0)+IF(AND(MOD(H4360,30)&lt;=2.5,MOD(H4360,30)&gt;=1.5),1,0)*VLOOKUP(D4360,'报价表-配送'!$B$2:$I$6,5,0)</f>
        <v>0</v>
      </c>
      <c r="M4360" s="39">
        <f>IF(AND(MOD(H4360,30)&lt;1.5,MOD(H4360,30)&gt;=0.5),H4360,0)*VLOOKUP(D4360,'报价表-配送'!$B$2:$I$6,4,0)*1000+IF(AND(MOD(H4360,30)&lt;0.5,MOD(H4360,30)&gt;=0.02),H4360,0)*VLOOKUP(D4360,'报价表-配送'!$B$2:$I$6,3,0)*1000+IF(AND(MOD(H4360,30)&lt;0.02),H4360,0)*VLOOKUP(D4360,'报价表-配送'!$B$2:$I$6,2,0)*1000</f>
        <v>0</v>
      </c>
      <c r="N4360" s="127">
        <f t="shared" ref="N4360:N4364" si="522">SUM(I4360:L4360)</f>
        <v>0</v>
      </c>
    </row>
    <row r="4361" spans="1:14" x14ac:dyDescent="0.25">
      <c r="A4361" s="121" t="s">
        <v>99</v>
      </c>
      <c r="B4361" s="121" t="s">
        <v>101</v>
      </c>
      <c r="C4361" s="62">
        <f>VLOOKUP(B4361,合并仓明细!$D$2:$F$74,3,0)</f>
        <v>93</v>
      </c>
      <c r="D4361" s="122" t="s">
        <v>393</v>
      </c>
      <c r="E4361" s="123">
        <v>46020</v>
      </c>
      <c r="F4361" s="121" t="s">
        <v>66</v>
      </c>
      <c r="G4361" s="121">
        <v>2150.1999999999998</v>
      </c>
      <c r="H4361" s="124">
        <v>2.1501999999999999</v>
      </c>
      <c r="I4361" s="125"/>
      <c r="J4361" s="125"/>
      <c r="K4361" s="125"/>
      <c r="L4361" s="37">
        <f>IF(H4361&gt;30,QUOTIENT(H4361,30)*VLOOKUP(D4361,'报价表-配送'!$B$2:$I$6,8,0),0)+IF(AND(MOD(H4361,30)&gt;18,MOD(H4361,30)&lt;=30),1,0)*VLOOKUP(D4361,'报价表-配送'!$B$2:$I$6,8,0)+IF(AND(MOD(H4361,30)&gt;8,MOD(H4361,30)&lt;=18),1*VLOOKUP(D4361,'报价表-配送'!$B$2:$I$6,7,0),0)+IF(AND(MOD(H4361,30)&lt;=8,MOD(H4361,30)&gt;2.5),1,0)*VLOOKUP(D4361,'报价表-配送'!$B$2:$I$6,6,0)+IF(AND(MOD(H4361,30)&lt;=2.5,MOD(H4361,30)&gt;=1.5),1,0)*VLOOKUP(D4361,'报价表-配送'!$B$2:$I$6,5,0)</f>
        <v>0</v>
      </c>
      <c r="M4361" s="39">
        <f>IF(AND(MOD(H4361,30)&lt;1.5,MOD(H4361,30)&gt;=0.5),H4361,0)*VLOOKUP(D4361,'报价表-配送'!$B$2:$I$6,4,0)*1000+IF(AND(MOD(H4361,30)&lt;0.5,MOD(H4361,30)&gt;=0.02),H4361,0)*VLOOKUP(D4361,'报价表-配送'!$B$2:$I$6,3,0)*1000+IF(AND(MOD(H4361,30)&lt;0.02),H4361,0)*VLOOKUP(D4361,'报价表-配送'!$B$2:$I$6,2,0)*1000</f>
        <v>0</v>
      </c>
      <c r="N4361" s="127">
        <f t="shared" si="522"/>
        <v>0</v>
      </c>
    </row>
    <row r="4362" spans="1:14" x14ac:dyDescent="0.25">
      <c r="A4362" s="121" t="s">
        <v>99</v>
      </c>
      <c r="B4362" s="121" t="s">
        <v>101</v>
      </c>
      <c r="C4362" s="62">
        <f>VLOOKUP(B4362,合并仓明细!$D$2:$F$74,3,0)</f>
        <v>93</v>
      </c>
      <c r="D4362" s="122" t="s">
        <v>393</v>
      </c>
      <c r="E4362" s="123">
        <v>46021</v>
      </c>
      <c r="F4362" s="121" t="s">
        <v>66</v>
      </c>
      <c r="G4362" s="121">
        <v>4.4000000000000004</v>
      </c>
      <c r="H4362" s="124">
        <v>4.4000000000000003E-3</v>
      </c>
      <c r="I4362" s="125"/>
      <c r="J4362" s="125"/>
      <c r="K4362" s="125"/>
      <c r="L4362" s="37">
        <f>IF(H4362&gt;30,QUOTIENT(H4362,30)*VLOOKUP(D4362,'报价表-配送'!$B$2:$I$6,8,0),0)+IF(AND(MOD(H4362,30)&gt;18,MOD(H4362,30)&lt;=30),1,0)*VLOOKUP(D4362,'报价表-配送'!$B$2:$I$6,8,0)+IF(AND(MOD(H4362,30)&gt;8,MOD(H4362,30)&lt;=18),1*VLOOKUP(D4362,'报价表-配送'!$B$2:$I$6,7,0),0)+IF(AND(MOD(H4362,30)&lt;=8,MOD(H4362,30)&gt;2.5),1,0)*VLOOKUP(D4362,'报价表-配送'!$B$2:$I$6,6,0)+IF(AND(MOD(H4362,30)&lt;=2.5,MOD(H4362,30)&gt;=1.5),1,0)*VLOOKUP(D4362,'报价表-配送'!$B$2:$I$6,5,0)</f>
        <v>0</v>
      </c>
      <c r="M4362" s="39">
        <f>IF(AND(MOD(H4362,30)&lt;1.5,MOD(H4362,30)&gt;=0.5),H4362,0)*VLOOKUP(D4362,'报价表-配送'!$B$2:$I$6,4,0)*1000+IF(AND(MOD(H4362,30)&lt;0.5,MOD(H4362,30)&gt;=0.02),H4362,0)*VLOOKUP(D4362,'报价表-配送'!$B$2:$I$6,3,0)*1000+IF(AND(MOD(H4362,30)&lt;0.02),H4362,0)*VLOOKUP(D4362,'报价表-配送'!$B$2:$I$6,2,0)*1000</f>
        <v>0</v>
      </c>
      <c r="N4362" s="127">
        <f t="shared" si="522"/>
        <v>0</v>
      </c>
    </row>
    <row r="4363" spans="1:14" x14ac:dyDescent="0.25">
      <c r="A4363" s="121" t="s">
        <v>99</v>
      </c>
      <c r="B4363" s="121" t="s">
        <v>101</v>
      </c>
      <c r="C4363" s="62">
        <f>VLOOKUP(B4363,合并仓明细!$D$2:$F$74,3,0)</f>
        <v>93</v>
      </c>
      <c r="D4363" s="122" t="s">
        <v>393</v>
      </c>
      <c r="E4363" s="123">
        <v>46022</v>
      </c>
      <c r="F4363" s="121" t="s">
        <v>66</v>
      </c>
      <c r="G4363" s="121">
        <v>4.4000000000000004</v>
      </c>
      <c r="H4363" s="124">
        <v>4.4000000000000003E-3</v>
      </c>
      <c r="I4363" s="125"/>
      <c r="J4363" s="125"/>
      <c r="K4363" s="125"/>
      <c r="L4363" s="37">
        <f>IF(H4363&gt;30,QUOTIENT(H4363,30)*VLOOKUP(D4363,'报价表-配送'!$B$2:$I$6,8,0),0)+IF(AND(MOD(H4363,30)&gt;18,MOD(H4363,30)&lt;=30),1,0)*VLOOKUP(D4363,'报价表-配送'!$B$2:$I$6,8,0)+IF(AND(MOD(H4363,30)&gt;8,MOD(H4363,30)&lt;=18),1*VLOOKUP(D4363,'报价表-配送'!$B$2:$I$6,7,0),0)+IF(AND(MOD(H4363,30)&lt;=8,MOD(H4363,30)&gt;2.5),1,0)*VLOOKUP(D4363,'报价表-配送'!$B$2:$I$6,6,0)+IF(AND(MOD(H4363,30)&lt;=2.5,MOD(H4363,30)&gt;=1.5),1,0)*VLOOKUP(D4363,'报价表-配送'!$B$2:$I$6,5,0)</f>
        <v>0</v>
      </c>
      <c r="M4363" s="39">
        <f>IF(AND(MOD(H4363,30)&lt;1.5,MOD(H4363,30)&gt;=0.5),H4363,0)*VLOOKUP(D4363,'报价表-配送'!$B$2:$I$6,4,0)*1000+IF(AND(MOD(H4363,30)&lt;0.5,MOD(H4363,30)&gt;=0.02),H4363,0)*VLOOKUP(D4363,'报价表-配送'!$B$2:$I$6,3,0)*1000+IF(AND(MOD(H4363,30)&lt;0.02),H4363,0)*VLOOKUP(D4363,'报价表-配送'!$B$2:$I$6,2,0)*1000</f>
        <v>0</v>
      </c>
      <c r="N4363" s="127">
        <f t="shared" si="522"/>
        <v>0</v>
      </c>
    </row>
    <row r="4364" spans="1:14" x14ac:dyDescent="0.25">
      <c r="A4364" s="121" t="s">
        <v>99</v>
      </c>
      <c r="B4364" s="121" t="s">
        <v>101</v>
      </c>
      <c r="C4364" s="62">
        <f>VLOOKUP(B4364,合并仓明细!$D$2:$F$74,3,0)</f>
        <v>93</v>
      </c>
      <c r="D4364" s="122" t="s">
        <v>393</v>
      </c>
      <c r="E4364" s="123">
        <v>46026</v>
      </c>
      <c r="F4364" s="121" t="s">
        <v>68</v>
      </c>
      <c r="G4364" s="121">
        <v>269.3</v>
      </c>
      <c r="H4364" s="124">
        <v>0.45506000000000002</v>
      </c>
      <c r="I4364" s="46">
        <f>ROUNDUP(H4364/30,0)*VLOOKUP(D4364,'报价表-配送'!$B$2:$I$6,8,0)</f>
        <v>0</v>
      </c>
      <c r="J4364" s="125"/>
      <c r="K4364" s="125"/>
      <c r="L4364" s="121"/>
      <c r="M4364" s="126"/>
      <c r="N4364" s="127">
        <f t="shared" si="522"/>
        <v>0</v>
      </c>
    </row>
    <row r="4365" spans="1:14" x14ac:dyDescent="0.25">
      <c r="A4365" s="121" t="s">
        <v>99</v>
      </c>
      <c r="B4365" s="121" t="s">
        <v>101</v>
      </c>
      <c r="C4365" s="62">
        <f>VLOOKUP(B4365,合并仓明细!$D$2:$F$74,3,0)</f>
        <v>93</v>
      </c>
      <c r="D4365" s="122" t="s">
        <v>393</v>
      </c>
      <c r="E4365" s="123">
        <v>46026</v>
      </c>
      <c r="F4365" s="121" t="s">
        <v>67</v>
      </c>
      <c r="G4365" s="121">
        <v>150.19</v>
      </c>
      <c r="H4365" s="124"/>
      <c r="I4365" s="125"/>
      <c r="J4365" s="125"/>
      <c r="K4365" s="125"/>
      <c r="L4365" s="121"/>
      <c r="M4365" s="126"/>
      <c r="N4365" s="121"/>
    </row>
    <row r="4366" spans="1:14" x14ac:dyDescent="0.25">
      <c r="A4366" s="121" t="s">
        <v>99</v>
      </c>
      <c r="B4366" s="121" t="s">
        <v>101</v>
      </c>
      <c r="C4366" s="62">
        <f>VLOOKUP(B4366,合并仓明细!$D$2:$F$74,3,0)</f>
        <v>93</v>
      </c>
      <c r="D4366" s="122" t="s">
        <v>393</v>
      </c>
      <c r="E4366" s="123">
        <v>46026</v>
      </c>
      <c r="F4366" s="121" t="s">
        <v>66</v>
      </c>
      <c r="G4366" s="121">
        <v>35.57</v>
      </c>
      <c r="H4366" s="124"/>
      <c r="I4366" s="125"/>
      <c r="J4366" s="125"/>
      <c r="K4366" s="125"/>
      <c r="L4366" s="121"/>
      <c r="M4366" s="126"/>
      <c r="N4366" s="121"/>
    </row>
    <row r="4367" spans="1:14" x14ac:dyDescent="0.25">
      <c r="A4367" s="121" t="s">
        <v>99</v>
      </c>
      <c r="B4367" s="121" t="s">
        <v>101</v>
      </c>
      <c r="C4367" s="62">
        <f>VLOOKUP(B4367,合并仓明细!$D$2:$F$74,3,0)</f>
        <v>93</v>
      </c>
      <c r="D4367" s="122" t="s">
        <v>393</v>
      </c>
      <c r="E4367" s="123">
        <v>46027</v>
      </c>
      <c r="F4367" s="121" t="s">
        <v>68</v>
      </c>
      <c r="G4367" s="121">
        <v>211.21</v>
      </c>
      <c r="H4367" s="124">
        <v>1.1645900000000002</v>
      </c>
      <c r="I4367" s="46">
        <f>ROUNDUP(H4367/30,0)*VLOOKUP(D4367,'报价表-配送'!$B$2:$I$6,8,0)</f>
        <v>0</v>
      </c>
      <c r="J4367" s="125"/>
      <c r="K4367" s="125"/>
      <c r="L4367" s="121"/>
      <c r="M4367" s="126"/>
      <c r="N4367" s="127">
        <f t="shared" ref="N4367" si="523">SUM(I4367:L4367)</f>
        <v>0</v>
      </c>
    </row>
    <row r="4368" spans="1:14" x14ac:dyDescent="0.25">
      <c r="A4368" s="121" t="s">
        <v>99</v>
      </c>
      <c r="B4368" s="121" t="s">
        <v>101</v>
      </c>
      <c r="C4368" s="62">
        <f>VLOOKUP(B4368,合并仓明细!$D$2:$F$74,3,0)</f>
        <v>93</v>
      </c>
      <c r="D4368" s="122" t="s">
        <v>393</v>
      </c>
      <c r="E4368" s="123">
        <v>46027</v>
      </c>
      <c r="F4368" s="121" t="s">
        <v>66</v>
      </c>
      <c r="G4368" s="121">
        <v>953.38000000000011</v>
      </c>
      <c r="H4368" s="124"/>
      <c r="I4368" s="125"/>
      <c r="J4368" s="125"/>
      <c r="K4368" s="125"/>
      <c r="L4368" s="121"/>
      <c r="M4368" s="126"/>
      <c r="N4368" s="121"/>
    </row>
    <row r="4369" spans="1:14" x14ac:dyDescent="0.25">
      <c r="A4369" s="121" t="s">
        <v>99</v>
      </c>
      <c r="B4369" s="121" t="s">
        <v>101</v>
      </c>
      <c r="C4369" s="62">
        <f>VLOOKUP(B4369,合并仓明细!$D$2:$F$74,3,0)</f>
        <v>93</v>
      </c>
      <c r="D4369" s="122" t="s">
        <v>393</v>
      </c>
      <c r="E4369" s="123">
        <v>46028</v>
      </c>
      <c r="F4369" s="121" t="s">
        <v>67</v>
      </c>
      <c r="G4369" s="121">
        <v>1975.1799999999998</v>
      </c>
      <c r="H4369" s="124">
        <v>2.1572</v>
      </c>
      <c r="I4369" s="38">
        <f>IF(H4369&gt;30,QUOTIENT(H4369,30)*VLOOKUP(D4369,'报价表-配送'!$B$2:$I$6,8,0),0)+IF(AND(MOD(H4369,30)&gt;18,MOD(H4369,30)&lt;=30),1,0)*VLOOKUP(D4369,'报价表-配送'!$B$2:$I$6,8,0)</f>
        <v>0</v>
      </c>
      <c r="J4369" s="38">
        <f>IF(AND(MOD(H4369,30)&gt;8,MOD(H4369,30)&lt;=18),1*VLOOKUP(D4369,'报价表-配送'!$B$2:$I$6,7,0),0)</f>
        <v>0</v>
      </c>
      <c r="K4369" s="38">
        <f>IF(AND(MOD(H4369,30)&lt;=8,MOD(H4369,30)&gt;0),1,0)*VLOOKUP(D4369,'报价表-配送'!$B$2:$I$6,6,0)</f>
        <v>0</v>
      </c>
      <c r="L4369" s="121"/>
      <c r="M4369" s="126"/>
      <c r="N4369" s="127">
        <f t="shared" ref="N4369" si="524">SUM(I4369:L4369)</f>
        <v>0</v>
      </c>
    </row>
    <row r="4370" spans="1:14" x14ac:dyDescent="0.25">
      <c r="A4370" s="121" t="s">
        <v>99</v>
      </c>
      <c r="B4370" s="121" t="s">
        <v>101</v>
      </c>
      <c r="C4370" s="62">
        <f>VLOOKUP(B4370,合并仓明细!$D$2:$F$74,3,0)</f>
        <v>93</v>
      </c>
      <c r="D4370" s="122" t="s">
        <v>393</v>
      </c>
      <c r="E4370" s="123">
        <v>46028</v>
      </c>
      <c r="F4370" s="121" t="s">
        <v>66</v>
      </c>
      <c r="G4370" s="121">
        <v>182.01999999999998</v>
      </c>
      <c r="H4370" s="124"/>
      <c r="I4370" s="125"/>
      <c r="J4370" s="125"/>
      <c r="K4370" s="125"/>
      <c r="L4370" s="121"/>
      <c r="M4370" s="126"/>
      <c r="N4370" s="121"/>
    </row>
    <row r="4371" spans="1:14" x14ac:dyDescent="0.25">
      <c r="A4371" s="121" t="s">
        <v>99</v>
      </c>
      <c r="B4371" s="121" t="s">
        <v>101</v>
      </c>
      <c r="C4371" s="62">
        <f>VLOOKUP(B4371,合并仓明细!$D$2:$F$74,3,0)</f>
        <v>93</v>
      </c>
      <c r="D4371" s="122" t="s">
        <v>393</v>
      </c>
      <c r="E4371" s="123">
        <v>46030</v>
      </c>
      <c r="F4371" s="121" t="s">
        <v>67</v>
      </c>
      <c r="G4371" s="121">
        <v>1222.7199999999998</v>
      </c>
      <c r="H4371" s="124">
        <v>2.8267699999999993</v>
      </c>
      <c r="I4371" s="38">
        <f>IF(H4371&gt;30,QUOTIENT(H4371,30)*VLOOKUP(D4371,'报价表-配送'!$B$2:$I$6,8,0),0)+IF(AND(MOD(H4371,30)&gt;18,MOD(H4371,30)&lt;=30),1,0)*VLOOKUP(D4371,'报价表-配送'!$B$2:$I$6,8,0)</f>
        <v>0</v>
      </c>
      <c r="J4371" s="38">
        <f>IF(AND(MOD(H4371,30)&gt;8,MOD(H4371,30)&lt;=18),1*VLOOKUP(D4371,'报价表-配送'!$B$2:$I$6,7,0),0)</f>
        <v>0</v>
      </c>
      <c r="K4371" s="38">
        <f>IF(AND(MOD(H4371,30)&lt;=8,MOD(H4371,30)&gt;0),1,0)*VLOOKUP(D4371,'报价表-配送'!$B$2:$I$6,6,0)</f>
        <v>0</v>
      </c>
      <c r="L4371" s="121"/>
      <c r="M4371" s="126"/>
      <c r="N4371" s="127">
        <f t="shared" ref="N4371" si="525">SUM(I4371:L4371)</f>
        <v>0</v>
      </c>
    </row>
    <row r="4372" spans="1:14" x14ac:dyDescent="0.25">
      <c r="A4372" s="121" t="s">
        <v>99</v>
      </c>
      <c r="B4372" s="121" t="s">
        <v>101</v>
      </c>
      <c r="C4372" s="62">
        <f>VLOOKUP(B4372,合并仓明细!$D$2:$F$74,3,0)</f>
        <v>93</v>
      </c>
      <c r="D4372" s="122" t="s">
        <v>393</v>
      </c>
      <c r="E4372" s="123">
        <v>46030</v>
      </c>
      <c r="F4372" s="121" t="s">
        <v>66</v>
      </c>
      <c r="G4372" s="121">
        <v>1604.05</v>
      </c>
      <c r="H4372" s="124"/>
      <c r="I4372" s="125"/>
      <c r="J4372" s="125"/>
      <c r="K4372" s="125"/>
      <c r="L4372" s="121"/>
      <c r="M4372" s="126"/>
      <c r="N4372" s="121"/>
    </row>
    <row r="4373" spans="1:14" x14ac:dyDescent="0.25">
      <c r="A4373" s="121" t="s">
        <v>99</v>
      </c>
      <c r="B4373" s="121" t="s">
        <v>101</v>
      </c>
      <c r="C4373" s="62">
        <f>VLOOKUP(B4373,合并仓明细!$D$2:$F$74,3,0)</f>
        <v>93</v>
      </c>
      <c r="D4373" s="122" t="s">
        <v>393</v>
      </c>
      <c r="E4373" s="123">
        <v>46031</v>
      </c>
      <c r="F4373" s="121" t="s">
        <v>66</v>
      </c>
      <c r="G4373" s="121">
        <v>855.06000000000017</v>
      </c>
      <c r="H4373" s="124">
        <v>0.85506000000000015</v>
      </c>
      <c r="I4373" s="125"/>
      <c r="J4373" s="125"/>
      <c r="K4373" s="125"/>
      <c r="L4373" s="37">
        <f>IF(H4373&gt;30,QUOTIENT(H4373,30)*VLOOKUP(D4373,'报价表-配送'!$B$2:$I$6,8,0),0)+IF(AND(MOD(H4373,30)&gt;18,MOD(H4373,30)&lt;=30),1,0)*VLOOKUP(D4373,'报价表-配送'!$B$2:$I$6,8,0)+IF(AND(MOD(H4373,30)&gt;8,MOD(H4373,30)&lt;=18),1*VLOOKUP(D4373,'报价表-配送'!$B$2:$I$6,7,0),0)+IF(AND(MOD(H4373,30)&lt;=8,MOD(H4373,30)&gt;2.5),1,0)*VLOOKUP(D4373,'报价表-配送'!$B$2:$I$6,6,0)+IF(AND(MOD(H4373,30)&lt;=2.5,MOD(H4373,30)&gt;=1.5),1,0)*VLOOKUP(D4373,'报价表-配送'!$B$2:$I$6,5,0)</f>
        <v>0</v>
      </c>
      <c r="M4373" s="39">
        <f>IF(AND(MOD(H4373,30)&lt;1.5,MOD(H4373,30)&gt;=0.5),H4373,0)*VLOOKUP(D4373,'报价表-配送'!$B$2:$I$6,4,0)*1000+IF(AND(MOD(H4373,30)&lt;0.5,MOD(H4373,30)&gt;=0.02),H4373,0)*VLOOKUP(D4373,'报价表-配送'!$B$2:$I$6,3,0)*1000+IF(AND(MOD(H4373,30)&lt;0.02),H4373,0)*VLOOKUP(D4373,'报价表-配送'!$B$2:$I$6,2,0)*1000</f>
        <v>0</v>
      </c>
      <c r="N4373" s="127">
        <f t="shared" ref="N4373:N4376" si="526">SUM(I4373:L4373)</f>
        <v>0</v>
      </c>
    </row>
    <row r="4374" spans="1:14" x14ac:dyDescent="0.25">
      <c r="A4374" s="121" t="s">
        <v>99</v>
      </c>
      <c r="B4374" s="121" t="s">
        <v>101</v>
      </c>
      <c r="C4374" s="62">
        <f>VLOOKUP(B4374,合并仓明细!$D$2:$F$74,3,0)</f>
        <v>93</v>
      </c>
      <c r="D4374" s="122" t="s">
        <v>393</v>
      </c>
      <c r="E4374" s="123">
        <v>46034</v>
      </c>
      <c r="F4374" s="121" t="s">
        <v>66</v>
      </c>
      <c r="G4374" s="121">
        <v>14.2</v>
      </c>
      <c r="H4374" s="124">
        <v>1.4199999999999999E-2</v>
      </c>
      <c r="I4374" s="125"/>
      <c r="J4374" s="125"/>
      <c r="K4374" s="125"/>
      <c r="L4374" s="37">
        <f>IF(H4374&gt;30,QUOTIENT(H4374,30)*VLOOKUP(D4374,'报价表-配送'!$B$2:$I$6,8,0),0)+IF(AND(MOD(H4374,30)&gt;18,MOD(H4374,30)&lt;=30),1,0)*VLOOKUP(D4374,'报价表-配送'!$B$2:$I$6,8,0)+IF(AND(MOD(H4374,30)&gt;8,MOD(H4374,30)&lt;=18),1*VLOOKUP(D4374,'报价表-配送'!$B$2:$I$6,7,0),0)+IF(AND(MOD(H4374,30)&lt;=8,MOD(H4374,30)&gt;2.5),1,0)*VLOOKUP(D4374,'报价表-配送'!$B$2:$I$6,6,0)+IF(AND(MOD(H4374,30)&lt;=2.5,MOD(H4374,30)&gt;=1.5),1,0)*VLOOKUP(D4374,'报价表-配送'!$B$2:$I$6,5,0)</f>
        <v>0</v>
      </c>
      <c r="M4374" s="39">
        <f>IF(AND(MOD(H4374,30)&lt;1.5,MOD(H4374,30)&gt;=0.5),H4374,0)*VLOOKUP(D4374,'报价表-配送'!$B$2:$I$6,4,0)*1000+IF(AND(MOD(H4374,30)&lt;0.5,MOD(H4374,30)&gt;=0.02),H4374,0)*VLOOKUP(D4374,'报价表-配送'!$B$2:$I$6,3,0)*1000+IF(AND(MOD(H4374,30)&lt;0.02),H4374,0)*VLOOKUP(D4374,'报价表-配送'!$B$2:$I$6,2,0)*1000</f>
        <v>0</v>
      </c>
      <c r="N4374" s="127">
        <f t="shared" si="526"/>
        <v>0</v>
      </c>
    </row>
    <row r="4375" spans="1:14" x14ac:dyDescent="0.25">
      <c r="A4375" s="121" t="s">
        <v>99</v>
      </c>
      <c r="B4375" s="121" t="s">
        <v>101</v>
      </c>
      <c r="C4375" s="62">
        <f>VLOOKUP(B4375,合并仓明细!$D$2:$F$74,3,0)</f>
        <v>93</v>
      </c>
      <c r="D4375" s="122" t="s">
        <v>393</v>
      </c>
      <c r="E4375" s="123">
        <v>46035</v>
      </c>
      <c r="F4375" s="121" t="s">
        <v>66</v>
      </c>
      <c r="G4375" s="121">
        <v>206.10000000000002</v>
      </c>
      <c r="H4375" s="124">
        <v>0.20610000000000003</v>
      </c>
      <c r="I4375" s="125"/>
      <c r="J4375" s="125"/>
      <c r="K4375" s="125"/>
      <c r="L4375" s="37">
        <f>IF(H4375&gt;30,QUOTIENT(H4375,30)*VLOOKUP(D4375,'报价表-配送'!$B$2:$I$6,8,0),0)+IF(AND(MOD(H4375,30)&gt;18,MOD(H4375,30)&lt;=30),1,0)*VLOOKUP(D4375,'报价表-配送'!$B$2:$I$6,8,0)+IF(AND(MOD(H4375,30)&gt;8,MOD(H4375,30)&lt;=18),1*VLOOKUP(D4375,'报价表-配送'!$B$2:$I$6,7,0),0)+IF(AND(MOD(H4375,30)&lt;=8,MOD(H4375,30)&gt;2.5),1,0)*VLOOKUP(D4375,'报价表-配送'!$B$2:$I$6,6,0)+IF(AND(MOD(H4375,30)&lt;=2.5,MOD(H4375,30)&gt;=1.5),1,0)*VLOOKUP(D4375,'报价表-配送'!$B$2:$I$6,5,0)</f>
        <v>0</v>
      </c>
      <c r="M4375" s="39">
        <f>IF(AND(MOD(H4375,30)&lt;1.5,MOD(H4375,30)&gt;=0.5),H4375,0)*VLOOKUP(D4375,'报价表-配送'!$B$2:$I$6,4,0)*1000+IF(AND(MOD(H4375,30)&lt;0.5,MOD(H4375,30)&gt;=0.02),H4375,0)*VLOOKUP(D4375,'报价表-配送'!$B$2:$I$6,3,0)*1000+IF(AND(MOD(H4375,30)&lt;0.02),H4375,0)*VLOOKUP(D4375,'报价表-配送'!$B$2:$I$6,2,0)*1000</f>
        <v>0</v>
      </c>
      <c r="N4375" s="127">
        <f t="shared" si="526"/>
        <v>0</v>
      </c>
    </row>
    <row r="4376" spans="1:14" x14ac:dyDescent="0.25">
      <c r="A4376" s="121" t="s">
        <v>99</v>
      </c>
      <c r="B4376" s="121" t="s">
        <v>101</v>
      </c>
      <c r="C4376" s="62">
        <f>VLOOKUP(B4376,合并仓明细!$D$2:$F$74,3,0)</f>
        <v>93</v>
      </c>
      <c r="D4376" s="122" t="s">
        <v>393</v>
      </c>
      <c r="E4376" s="123">
        <v>46036</v>
      </c>
      <c r="F4376" s="121" t="s">
        <v>68</v>
      </c>
      <c r="G4376" s="121">
        <v>565.19999999999993</v>
      </c>
      <c r="H4376" s="124">
        <v>2.8853800000000001</v>
      </c>
      <c r="I4376" s="46">
        <f>ROUNDUP(H4376/30,0)*VLOOKUP(D4376,'报价表-配送'!$B$2:$I$6,8,0)</f>
        <v>0</v>
      </c>
      <c r="J4376" s="125"/>
      <c r="K4376" s="125"/>
      <c r="L4376" s="121"/>
      <c r="M4376" s="126"/>
      <c r="N4376" s="127">
        <f t="shared" si="526"/>
        <v>0</v>
      </c>
    </row>
    <row r="4377" spans="1:14" x14ac:dyDescent="0.25">
      <c r="A4377" s="121" t="s">
        <v>99</v>
      </c>
      <c r="B4377" s="121" t="s">
        <v>101</v>
      </c>
      <c r="C4377" s="62">
        <f>VLOOKUP(B4377,合并仓明细!$D$2:$F$74,3,0)</f>
        <v>93</v>
      </c>
      <c r="D4377" s="122" t="s">
        <v>393</v>
      </c>
      <c r="E4377" s="123">
        <v>46036</v>
      </c>
      <c r="F4377" s="121" t="s">
        <v>67</v>
      </c>
      <c r="G4377" s="121">
        <v>1990.99</v>
      </c>
      <c r="H4377" s="124"/>
      <c r="I4377" s="125"/>
      <c r="J4377" s="125"/>
      <c r="K4377" s="125"/>
      <c r="L4377" s="121"/>
      <c r="M4377" s="126"/>
      <c r="N4377" s="121"/>
    </row>
    <row r="4378" spans="1:14" x14ac:dyDescent="0.25">
      <c r="A4378" s="121" t="s">
        <v>99</v>
      </c>
      <c r="B4378" s="121" t="s">
        <v>101</v>
      </c>
      <c r="C4378" s="62">
        <f>VLOOKUP(B4378,合并仓明细!$D$2:$F$74,3,0)</f>
        <v>93</v>
      </c>
      <c r="D4378" s="122" t="s">
        <v>393</v>
      </c>
      <c r="E4378" s="123">
        <v>46036</v>
      </c>
      <c r="F4378" s="121" t="s">
        <v>66</v>
      </c>
      <c r="G4378" s="121">
        <v>329.19000000000005</v>
      </c>
      <c r="H4378" s="124"/>
      <c r="I4378" s="125"/>
      <c r="J4378" s="125"/>
      <c r="K4378" s="125"/>
      <c r="L4378" s="121"/>
      <c r="M4378" s="126"/>
      <c r="N4378" s="121"/>
    </row>
    <row r="4379" spans="1:14" x14ac:dyDescent="0.25">
      <c r="A4379" s="121" t="s">
        <v>99</v>
      </c>
      <c r="B4379" s="121" t="s">
        <v>101</v>
      </c>
      <c r="C4379" s="62">
        <f>VLOOKUP(B4379,合并仓明细!$D$2:$F$74,3,0)</f>
        <v>93</v>
      </c>
      <c r="D4379" s="122" t="s">
        <v>393</v>
      </c>
      <c r="E4379" s="123">
        <v>46037</v>
      </c>
      <c r="F4379" s="121" t="s">
        <v>66</v>
      </c>
      <c r="G4379" s="121">
        <v>108.83999999999999</v>
      </c>
      <c r="H4379" s="124">
        <v>0.10883999999999999</v>
      </c>
      <c r="I4379" s="125"/>
      <c r="J4379" s="125"/>
      <c r="K4379" s="125"/>
      <c r="L4379" s="37">
        <f>IF(H4379&gt;30,QUOTIENT(H4379,30)*VLOOKUP(D4379,'报价表-配送'!$B$2:$I$6,8,0),0)+IF(AND(MOD(H4379,30)&gt;18,MOD(H4379,30)&lt;=30),1,0)*VLOOKUP(D4379,'报价表-配送'!$B$2:$I$6,8,0)+IF(AND(MOD(H4379,30)&gt;8,MOD(H4379,30)&lt;=18),1*VLOOKUP(D4379,'报价表-配送'!$B$2:$I$6,7,0),0)+IF(AND(MOD(H4379,30)&lt;=8,MOD(H4379,30)&gt;2.5),1,0)*VLOOKUP(D4379,'报价表-配送'!$B$2:$I$6,6,0)+IF(AND(MOD(H4379,30)&lt;=2.5,MOD(H4379,30)&gt;=1.5),1,0)*VLOOKUP(D4379,'报价表-配送'!$B$2:$I$6,5,0)</f>
        <v>0</v>
      </c>
      <c r="M4379" s="39">
        <f>IF(AND(MOD(H4379,30)&lt;1.5,MOD(H4379,30)&gt;=0.5),H4379,0)*VLOOKUP(D4379,'报价表-配送'!$B$2:$I$6,4,0)*1000+IF(AND(MOD(H4379,30)&lt;0.5,MOD(H4379,30)&gt;=0.02),H4379,0)*VLOOKUP(D4379,'报价表-配送'!$B$2:$I$6,3,0)*1000+IF(AND(MOD(H4379,30)&lt;0.02),H4379,0)*VLOOKUP(D4379,'报价表-配送'!$B$2:$I$6,2,0)*1000</f>
        <v>0</v>
      </c>
      <c r="N4379" s="127">
        <f t="shared" ref="N4379:N4386" si="527">SUM(I4379:L4379)</f>
        <v>0</v>
      </c>
    </row>
    <row r="4380" spans="1:14" x14ac:dyDescent="0.25">
      <c r="A4380" s="121" t="s">
        <v>99</v>
      </c>
      <c r="B4380" s="121" t="s">
        <v>101</v>
      </c>
      <c r="C4380" s="62">
        <f>VLOOKUP(B4380,合并仓明细!$D$2:$F$74,3,0)</f>
        <v>93</v>
      </c>
      <c r="D4380" s="122" t="s">
        <v>393</v>
      </c>
      <c r="E4380" s="123">
        <v>46038</v>
      </c>
      <c r="F4380" s="121" t="s">
        <v>66</v>
      </c>
      <c r="G4380" s="121">
        <v>121.56</v>
      </c>
      <c r="H4380" s="124">
        <v>0.12156</v>
      </c>
      <c r="I4380" s="125"/>
      <c r="J4380" s="125"/>
      <c r="K4380" s="125"/>
      <c r="L4380" s="37">
        <f>IF(H4380&gt;30,QUOTIENT(H4380,30)*VLOOKUP(D4380,'报价表-配送'!$B$2:$I$6,8,0),0)+IF(AND(MOD(H4380,30)&gt;18,MOD(H4380,30)&lt;=30),1,0)*VLOOKUP(D4380,'报价表-配送'!$B$2:$I$6,8,0)+IF(AND(MOD(H4380,30)&gt;8,MOD(H4380,30)&lt;=18),1*VLOOKUP(D4380,'报价表-配送'!$B$2:$I$6,7,0),0)+IF(AND(MOD(H4380,30)&lt;=8,MOD(H4380,30)&gt;2.5),1,0)*VLOOKUP(D4380,'报价表-配送'!$B$2:$I$6,6,0)+IF(AND(MOD(H4380,30)&lt;=2.5,MOD(H4380,30)&gt;=1.5),1,0)*VLOOKUP(D4380,'报价表-配送'!$B$2:$I$6,5,0)</f>
        <v>0</v>
      </c>
      <c r="M4380" s="39">
        <f>IF(AND(MOD(H4380,30)&lt;1.5,MOD(H4380,30)&gt;=0.5),H4380,0)*VLOOKUP(D4380,'报价表-配送'!$B$2:$I$6,4,0)*1000+IF(AND(MOD(H4380,30)&lt;0.5,MOD(H4380,30)&gt;=0.02),H4380,0)*VLOOKUP(D4380,'报价表-配送'!$B$2:$I$6,3,0)*1000+IF(AND(MOD(H4380,30)&lt;0.02),H4380,0)*VLOOKUP(D4380,'报价表-配送'!$B$2:$I$6,2,0)*1000</f>
        <v>0</v>
      </c>
      <c r="N4380" s="127">
        <f t="shared" si="527"/>
        <v>0</v>
      </c>
    </row>
    <row r="4381" spans="1:14" x14ac:dyDescent="0.25">
      <c r="A4381" s="121" t="s">
        <v>99</v>
      </c>
      <c r="B4381" s="121" t="s">
        <v>101</v>
      </c>
      <c r="C4381" s="62">
        <f>VLOOKUP(B4381,合并仓明细!$D$2:$F$74,3,0)</f>
        <v>93</v>
      </c>
      <c r="D4381" s="122" t="s">
        <v>393</v>
      </c>
      <c r="E4381" s="123">
        <v>46041</v>
      </c>
      <c r="F4381" s="121" t="s">
        <v>66</v>
      </c>
      <c r="G4381" s="121">
        <v>88.45</v>
      </c>
      <c r="H4381" s="124">
        <v>8.8450000000000001E-2</v>
      </c>
      <c r="I4381" s="125"/>
      <c r="J4381" s="125"/>
      <c r="K4381" s="125"/>
      <c r="L4381" s="37">
        <f>IF(H4381&gt;30,QUOTIENT(H4381,30)*VLOOKUP(D4381,'报价表-配送'!$B$2:$I$6,8,0),0)+IF(AND(MOD(H4381,30)&gt;18,MOD(H4381,30)&lt;=30),1,0)*VLOOKUP(D4381,'报价表-配送'!$B$2:$I$6,8,0)+IF(AND(MOD(H4381,30)&gt;8,MOD(H4381,30)&lt;=18),1*VLOOKUP(D4381,'报价表-配送'!$B$2:$I$6,7,0),0)+IF(AND(MOD(H4381,30)&lt;=8,MOD(H4381,30)&gt;2.5),1,0)*VLOOKUP(D4381,'报价表-配送'!$B$2:$I$6,6,0)+IF(AND(MOD(H4381,30)&lt;=2.5,MOD(H4381,30)&gt;=1.5),1,0)*VLOOKUP(D4381,'报价表-配送'!$B$2:$I$6,5,0)</f>
        <v>0</v>
      </c>
      <c r="M4381" s="39">
        <f>IF(AND(MOD(H4381,30)&lt;1.5,MOD(H4381,30)&gt;=0.5),H4381,0)*VLOOKUP(D4381,'报价表-配送'!$B$2:$I$6,4,0)*1000+IF(AND(MOD(H4381,30)&lt;0.5,MOD(H4381,30)&gt;=0.02),H4381,0)*VLOOKUP(D4381,'报价表-配送'!$B$2:$I$6,3,0)*1000+IF(AND(MOD(H4381,30)&lt;0.02),H4381,0)*VLOOKUP(D4381,'报价表-配送'!$B$2:$I$6,2,0)*1000</f>
        <v>0</v>
      </c>
      <c r="N4381" s="127">
        <f t="shared" si="527"/>
        <v>0</v>
      </c>
    </row>
    <row r="4382" spans="1:14" x14ac:dyDescent="0.25">
      <c r="A4382" s="121" t="s">
        <v>99</v>
      </c>
      <c r="B4382" s="121" t="s">
        <v>101</v>
      </c>
      <c r="C4382" s="62">
        <f>VLOOKUP(B4382,合并仓明细!$D$2:$F$74,3,0)</f>
        <v>93</v>
      </c>
      <c r="D4382" s="122" t="s">
        <v>393</v>
      </c>
      <c r="E4382" s="123">
        <v>46042</v>
      </c>
      <c r="F4382" s="121" t="s">
        <v>66</v>
      </c>
      <c r="G4382" s="121">
        <v>6.94</v>
      </c>
      <c r="H4382" s="124">
        <v>6.94E-3</v>
      </c>
      <c r="I4382" s="125"/>
      <c r="J4382" s="125"/>
      <c r="K4382" s="125"/>
      <c r="L4382" s="37">
        <f>IF(H4382&gt;30,QUOTIENT(H4382,30)*VLOOKUP(D4382,'报价表-配送'!$B$2:$I$6,8,0),0)+IF(AND(MOD(H4382,30)&gt;18,MOD(H4382,30)&lt;=30),1,0)*VLOOKUP(D4382,'报价表-配送'!$B$2:$I$6,8,0)+IF(AND(MOD(H4382,30)&gt;8,MOD(H4382,30)&lt;=18),1*VLOOKUP(D4382,'报价表-配送'!$B$2:$I$6,7,0),0)+IF(AND(MOD(H4382,30)&lt;=8,MOD(H4382,30)&gt;2.5),1,0)*VLOOKUP(D4382,'报价表-配送'!$B$2:$I$6,6,0)+IF(AND(MOD(H4382,30)&lt;=2.5,MOD(H4382,30)&gt;=1.5),1,0)*VLOOKUP(D4382,'报价表-配送'!$B$2:$I$6,5,0)</f>
        <v>0</v>
      </c>
      <c r="M4382" s="39">
        <f>IF(AND(MOD(H4382,30)&lt;1.5,MOD(H4382,30)&gt;=0.5),H4382,0)*VLOOKUP(D4382,'报价表-配送'!$B$2:$I$6,4,0)*1000+IF(AND(MOD(H4382,30)&lt;0.5,MOD(H4382,30)&gt;=0.02),H4382,0)*VLOOKUP(D4382,'报价表-配送'!$B$2:$I$6,3,0)*1000+IF(AND(MOD(H4382,30)&lt;0.02),H4382,0)*VLOOKUP(D4382,'报价表-配送'!$B$2:$I$6,2,0)*1000</f>
        <v>0</v>
      </c>
      <c r="N4382" s="127">
        <f t="shared" si="527"/>
        <v>0</v>
      </c>
    </row>
    <row r="4383" spans="1:14" x14ac:dyDescent="0.25">
      <c r="A4383" s="121" t="s">
        <v>99</v>
      </c>
      <c r="B4383" s="121" t="s">
        <v>101</v>
      </c>
      <c r="C4383" s="62">
        <f>VLOOKUP(B4383,合并仓明细!$D$2:$F$74,3,0)</f>
        <v>93</v>
      </c>
      <c r="D4383" s="122" t="s">
        <v>393</v>
      </c>
      <c r="E4383" s="123">
        <v>46043</v>
      </c>
      <c r="F4383" s="121" t="s">
        <v>66</v>
      </c>
      <c r="G4383" s="121">
        <v>113.65</v>
      </c>
      <c r="H4383" s="124">
        <v>0.11365</v>
      </c>
      <c r="I4383" s="125"/>
      <c r="J4383" s="125"/>
      <c r="K4383" s="125"/>
      <c r="L4383" s="37">
        <f>IF(H4383&gt;30,QUOTIENT(H4383,30)*VLOOKUP(D4383,'报价表-配送'!$B$2:$I$6,8,0),0)+IF(AND(MOD(H4383,30)&gt;18,MOD(H4383,30)&lt;=30),1,0)*VLOOKUP(D4383,'报价表-配送'!$B$2:$I$6,8,0)+IF(AND(MOD(H4383,30)&gt;8,MOD(H4383,30)&lt;=18),1*VLOOKUP(D4383,'报价表-配送'!$B$2:$I$6,7,0),0)+IF(AND(MOD(H4383,30)&lt;=8,MOD(H4383,30)&gt;2.5),1,0)*VLOOKUP(D4383,'报价表-配送'!$B$2:$I$6,6,0)+IF(AND(MOD(H4383,30)&lt;=2.5,MOD(H4383,30)&gt;=1.5),1,0)*VLOOKUP(D4383,'报价表-配送'!$B$2:$I$6,5,0)</f>
        <v>0</v>
      </c>
      <c r="M4383" s="39">
        <f>IF(AND(MOD(H4383,30)&lt;1.5,MOD(H4383,30)&gt;=0.5),H4383,0)*VLOOKUP(D4383,'报价表-配送'!$B$2:$I$6,4,0)*1000+IF(AND(MOD(H4383,30)&lt;0.5,MOD(H4383,30)&gt;=0.02),H4383,0)*VLOOKUP(D4383,'报价表-配送'!$B$2:$I$6,3,0)*1000+IF(AND(MOD(H4383,30)&lt;0.02),H4383,0)*VLOOKUP(D4383,'报价表-配送'!$B$2:$I$6,2,0)*1000</f>
        <v>0</v>
      </c>
      <c r="N4383" s="127">
        <f t="shared" si="527"/>
        <v>0</v>
      </c>
    </row>
    <row r="4384" spans="1:14" x14ac:dyDescent="0.25">
      <c r="A4384" s="121" t="s">
        <v>99</v>
      </c>
      <c r="B4384" s="121" t="s">
        <v>101</v>
      </c>
      <c r="C4384" s="62">
        <f>VLOOKUP(B4384,合并仓明细!$D$2:$F$74,3,0)</f>
        <v>93</v>
      </c>
      <c r="D4384" s="122" t="s">
        <v>393</v>
      </c>
      <c r="E4384" s="123">
        <v>46048</v>
      </c>
      <c r="F4384" s="121" t="s">
        <v>66</v>
      </c>
      <c r="G4384" s="121">
        <v>156.40000000000003</v>
      </c>
      <c r="H4384" s="124">
        <v>0.15640000000000004</v>
      </c>
      <c r="I4384" s="125"/>
      <c r="J4384" s="125"/>
      <c r="K4384" s="125"/>
      <c r="L4384" s="37">
        <f>IF(H4384&gt;30,QUOTIENT(H4384,30)*VLOOKUP(D4384,'报价表-配送'!$B$2:$I$6,8,0),0)+IF(AND(MOD(H4384,30)&gt;18,MOD(H4384,30)&lt;=30),1,0)*VLOOKUP(D4384,'报价表-配送'!$B$2:$I$6,8,0)+IF(AND(MOD(H4384,30)&gt;8,MOD(H4384,30)&lt;=18),1*VLOOKUP(D4384,'报价表-配送'!$B$2:$I$6,7,0),0)+IF(AND(MOD(H4384,30)&lt;=8,MOD(H4384,30)&gt;2.5),1,0)*VLOOKUP(D4384,'报价表-配送'!$B$2:$I$6,6,0)+IF(AND(MOD(H4384,30)&lt;=2.5,MOD(H4384,30)&gt;=1.5),1,0)*VLOOKUP(D4384,'报价表-配送'!$B$2:$I$6,5,0)</f>
        <v>0</v>
      </c>
      <c r="M4384" s="39">
        <f>IF(AND(MOD(H4384,30)&lt;1.5,MOD(H4384,30)&gt;=0.5),H4384,0)*VLOOKUP(D4384,'报价表-配送'!$B$2:$I$6,4,0)*1000+IF(AND(MOD(H4384,30)&lt;0.5,MOD(H4384,30)&gt;=0.02),H4384,0)*VLOOKUP(D4384,'报价表-配送'!$B$2:$I$6,3,0)*1000+IF(AND(MOD(H4384,30)&lt;0.02),H4384,0)*VLOOKUP(D4384,'报价表-配送'!$B$2:$I$6,2,0)*1000</f>
        <v>0</v>
      </c>
      <c r="N4384" s="127">
        <f t="shared" si="527"/>
        <v>0</v>
      </c>
    </row>
    <row r="4385" spans="1:14" x14ac:dyDescent="0.25">
      <c r="A4385" s="121" t="s">
        <v>99</v>
      </c>
      <c r="B4385" s="121" t="s">
        <v>101</v>
      </c>
      <c r="C4385" s="62">
        <f>VLOOKUP(B4385,合并仓明细!$D$2:$F$74,3,0)</f>
        <v>93</v>
      </c>
      <c r="D4385" s="122" t="s">
        <v>393</v>
      </c>
      <c r="E4385" s="123">
        <v>46049</v>
      </c>
      <c r="F4385" s="121" t="s">
        <v>66</v>
      </c>
      <c r="G4385" s="121">
        <v>30</v>
      </c>
      <c r="H4385" s="124">
        <v>0.03</v>
      </c>
      <c r="I4385" s="125"/>
      <c r="J4385" s="125"/>
      <c r="K4385" s="125"/>
      <c r="L4385" s="37">
        <f>IF(H4385&gt;30,QUOTIENT(H4385,30)*VLOOKUP(D4385,'报价表-配送'!$B$2:$I$6,8,0),0)+IF(AND(MOD(H4385,30)&gt;18,MOD(H4385,30)&lt;=30),1,0)*VLOOKUP(D4385,'报价表-配送'!$B$2:$I$6,8,0)+IF(AND(MOD(H4385,30)&gt;8,MOD(H4385,30)&lt;=18),1*VLOOKUP(D4385,'报价表-配送'!$B$2:$I$6,7,0),0)+IF(AND(MOD(H4385,30)&lt;=8,MOD(H4385,30)&gt;2.5),1,0)*VLOOKUP(D4385,'报价表-配送'!$B$2:$I$6,6,0)+IF(AND(MOD(H4385,30)&lt;=2.5,MOD(H4385,30)&gt;=1.5),1,0)*VLOOKUP(D4385,'报价表-配送'!$B$2:$I$6,5,0)</f>
        <v>0</v>
      </c>
      <c r="M4385" s="39">
        <f>IF(AND(MOD(H4385,30)&lt;1.5,MOD(H4385,30)&gt;=0.5),H4385,0)*VLOOKUP(D4385,'报价表-配送'!$B$2:$I$6,4,0)*1000+IF(AND(MOD(H4385,30)&lt;0.5,MOD(H4385,30)&gt;=0.02),H4385,0)*VLOOKUP(D4385,'报价表-配送'!$B$2:$I$6,3,0)*1000+IF(AND(MOD(H4385,30)&lt;0.02),H4385,0)*VLOOKUP(D4385,'报价表-配送'!$B$2:$I$6,2,0)*1000</f>
        <v>0</v>
      </c>
      <c r="N4385" s="127">
        <f t="shared" si="527"/>
        <v>0</v>
      </c>
    </row>
    <row r="4386" spans="1:14" x14ac:dyDescent="0.25">
      <c r="A4386" s="121" t="s">
        <v>99</v>
      </c>
      <c r="B4386" s="121" t="s">
        <v>101</v>
      </c>
      <c r="C4386" s="62">
        <f>VLOOKUP(B4386,合并仓明细!$D$2:$F$74,3,0)</f>
        <v>93</v>
      </c>
      <c r="D4386" s="122" t="s">
        <v>393</v>
      </c>
      <c r="E4386" s="123">
        <v>46050</v>
      </c>
      <c r="F4386" s="121" t="s">
        <v>68</v>
      </c>
      <c r="G4386" s="121">
        <v>288.02999999999997</v>
      </c>
      <c r="H4386" s="124">
        <v>1.6242999999999996</v>
      </c>
      <c r="I4386" s="46">
        <f>ROUNDUP(H4386/30,0)*VLOOKUP(D4386,'报价表-配送'!$B$2:$I$6,8,0)</f>
        <v>0</v>
      </c>
      <c r="J4386" s="125"/>
      <c r="K4386" s="125"/>
      <c r="L4386" s="121"/>
      <c r="M4386" s="126"/>
      <c r="N4386" s="127">
        <f t="shared" si="527"/>
        <v>0</v>
      </c>
    </row>
    <row r="4387" spans="1:14" x14ac:dyDescent="0.25">
      <c r="A4387" s="121" t="s">
        <v>99</v>
      </c>
      <c r="B4387" s="121" t="s">
        <v>101</v>
      </c>
      <c r="C4387" s="62">
        <f>VLOOKUP(B4387,合并仓明细!$D$2:$F$74,3,0)</f>
        <v>93</v>
      </c>
      <c r="D4387" s="122" t="s">
        <v>393</v>
      </c>
      <c r="E4387" s="123">
        <v>46050</v>
      </c>
      <c r="F4387" s="121" t="s">
        <v>67</v>
      </c>
      <c r="G4387" s="121">
        <v>136.63</v>
      </c>
      <c r="H4387" s="124"/>
      <c r="I4387" s="125"/>
      <c r="J4387" s="125"/>
      <c r="K4387" s="125"/>
      <c r="L4387" s="121"/>
      <c r="M4387" s="126"/>
      <c r="N4387" s="121"/>
    </row>
    <row r="4388" spans="1:14" x14ac:dyDescent="0.25">
      <c r="A4388" s="121" t="s">
        <v>99</v>
      </c>
      <c r="B4388" s="121" t="s">
        <v>101</v>
      </c>
      <c r="C4388" s="62">
        <f>VLOOKUP(B4388,合并仓明细!$D$2:$F$74,3,0)</f>
        <v>93</v>
      </c>
      <c r="D4388" s="122" t="s">
        <v>393</v>
      </c>
      <c r="E4388" s="123">
        <v>46050</v>
      </c>
      <c r="F4388" s="121" t="s">
        <v>66</v>
      </c>
      <c r="G4388" s="121">
        <v>1199.6399999999996</v>
      </c>
      <c r="H4388" s="124"/>
      <c r="I4388" s="125"/>
      <c r="J4388" s="125"/>
      <c r="K4388" s="125"/>
      <c r="L4388" s="121"/>
      <c r="M4388" s="126"/>
      <c r="N4388" s="121"/>
    </row>
    <row r="4389" spans="1:14" x14ac:dyDescent="0.25">
      <c r="A4389" s="121" t="s">
        <v>99</v>
      </c>
      <c r="B4389" s="121" t="s">
        <v>101</v>
      </c>
      <c r="C4389" s="62">
        <f>VLOOKUP(B4389,合并仓明细!$D$2:$F$74,3,0)</f>
        <v>93</v>
      </c>
      <c r="D4389" s="122" t="s">
        <v>393</v>
      </c>
      <c r="E4389" s="123">
        <v>46051</v>
      </c>
      <c r="F4389" s="121" t="s">
        <v>66</v>
      </c>
      <c r="G4389" s="121">
        <v>216.4</v>
      </c>
      <c r="H4389" s="124">
        <v>0.21640000000000001</v>
      </c>
      <c r="I4389" s="125"/>
      <c r="J4389" s="125"/>
      <c r="K4389" s="125"/>
      <c r="L4389" s="37">
        <f>IF(H4389&gt;30,QUOTIENT(H4389,30)*VLOOKUP(D4389,'报价表-配送'!$B$2:$I$6,8,0),0)+IF(AND(MOD(H4389,30)&gt;18,MOD(H4389,30)&lt;=30),1,0)*VLOOKUP(D4389,'报价表-配送'!$B$2:$I$6,8,0)+IF(AND(MOD(H4389,30)&gt;8,MOD(H4389,30)&lt;=18),1*VLOOKUP(D4389,'报价表-配送'!$B$2:$I$6,7,0),0)+IF(AND(MOD(H4389,30)&lt;=8,MOD(H4389,30)&gt;2.5),1,0)*VLOOKUP(D4389,'报价表-配送'!$B$2:$I$6,6,0)+IF(AND(MOD(H4389,30)&lt;=2.5,MOD(H4389,30)&gt;=1.5),1,0)*VLOOKUP(D4389,'报价表-配送'!$B$2:$I$6,5,0)</f>
        <v>0</v>
      </c>
      <c r="M4389" s="39">
        <f>IF(AND(MOD(H4389,30)&lt;1.5,MOD(H4389,30)&gt;=0.5),H4389,0)*VLOOKUP(D4389,'报价表-配送'!$B$2:$I$6,4,0)*1000+IF(AND(MOD(H4389,30)&lt;0.5,MOD(H4389,30)&gt;=0.02),H4389,0)*VLOOKUP(D4389,'报价表-配送'!$B$2:$I$6,3,0)*1000+IF(AND(MOD(H4389,30)&lt;0.02),H4389,0)*VLOOKUP(D4389,'报价表-配送'!$B$2:$I$6,2,0)*1000</f>
        <v>0</v>
      </c>
      <c r="N4389" s="127">
        <f t="shared" ref="N4389:N4392" si="528">SUM(I4389:L4389)</f>
        <v>0</v>
      </c>
    </row>
    <row r="4390" spans="1:14" x14ac:dyDescent="0.25">
      <c r="A4390" s="121" t="s">
        <v>99</v>
      </c>
      <c r="B4390" s="121" t="s">
        <v>101</v>
      </c>
      <c r="C4390" s="62">
        <f>VLOOKUP(B4390,合并仓明细!$D$2:$F$74,3,0)</f>
        <v>93</v>
      </c>
      <c r="D4390" s="122" t="s">
        <v>393</v>
      </c>
      <c r="E4390" s="123">
        <v>46055</v>
      </c>
      <c r="F4390" s="121" t="s">
        <v>66</v>
      </c>
      <c r="G4390" s="121">
        <v>10.5</v>
      </c>
      <c r="H4390" s="124">
        <v>1.0500000000000001E-2</v>
      </c>
      <c r="I4390" s="125"/>
      <c r="J4390" s="125"/>
      <c r="K4390" s="125"/>
      <c r="L4390" s="37">
        <f>IF(H4390&gt;30,QUOTIENT(H4390,30)*VLOOKUP(D4390,'报价表-配送'!$B$2:$I$6,8,0),0)+IF(AND(MOD(H4390,30)&gt;18,MOD(H4390,30)&lt;=30),1,0)*VLOOKUP(D4390,'报价表-配送'!$B$2:$I$6,8,0)+IF(AND(MOD(H4390,30)&gt;8,MOD(H4390,30)&lt;=18),1*VLOOKUP(D4390,'报价表-配送'!$B$2:$I$6,7,0),0)+IF(AND(MOD(H4390,30)&lt;=8,MOD(H4390,30)&gt;2.5),1,0)*VLOOKUP(D4390,'报价表-配送'!$B$2:$I$6,6,0)+IF(AND(MOD(H4390,30)&lt;=2.5,MOD(H4390,30)&gt;=1.5),1,0)*VLOOKUP(D4390,'报价表-配送'!$B$2:$I$6,5,0)</f>
        <v>0</v>
      </c>
      <c r="M4390" s="39">
        <f>IF(AND(MOD(H4390,30)&lt;1.5,MOD(H4390,30)&gt;=0.5),H4390,0)*VLOOKUP(D4390,'报价表-配送'!$B$2:$I$6,4,0)*1000+IF(AND(MOD(H4390,30)&lt;0.5,MOD(H4390,30)&gt;=0.02),H4390,0)*VLOOKUP(D4390,'报价表-配送'!$B$2:$I$6,3,0)*1000+IF(AND(MOD(H4390,30)&lt;0.02),H4390,0)*VLOOKUP(D4390,'报价表-配送'!$B$2:$I$6,2,0)*1000</f>
        <v>0</v>
      </c>
      <c r="N4390" s="127">
        <f t="shared" si="528"/>
        <v>0</v>
      </c>
    </row>
    <row r="4391" spans="1:14" x14ac:dyDescent="0.25">
      <c r="A4391" s="121" t="s">
        <v>99</v>
      </c>
      <c r="B4391" s="121" t="s">
        <v>101</v>
      </c>
      <c r="C4391" s="62">
        <f>VLOOKUP(B4391,合并仓明细!$D$2:$F$74,3,0)</f>
        <v>93</v>
      </c>
      <c r="D4391" s="122" t="s">
        <v>393</v>
      </c>
      <c r="E4391" s="123">
        <v>46057</v>
      </c>
      <c r="F4391" s="121" t="s">
        <v>66</v>
      </c>
      <c r="G4391" s="121">
        <v>13.73</v>
      </c>
      <c r="H4391" s="124">
        <v>1.3730000000000001E-2</v>
      </c>
      <c r="I4391" s="125"/>
      <c r="J4391" s="125"/>
      <c r="K4391" s="125"/>
      <c r="L4391" s="37">
        <f>IF(H4391&gt;30,QUOTIENT(H4391,30)*VLOOKUP(D4391,'报价表-配送'!$B$2:$I$6,8,0),0)+IF(AND(MOD(H4391,30)&gt;18,MOD(H4391,30)&lt;=30),1,0)*VLOOKUP(D4391,'报价表-配送'!$B$2:$I$6,8,0)+IF(AND(MOD(H4391,30)&gt;8,MOD(H4391,30)&lt;=18),1*VLOOKUP(D4391,'报价表-配送'!$B$2:$I$6,7,0),0)+IF(AND(MOD(H4391,30)&lt;=8,MOD(H4391,30)&gt;2.5),1,0)*VLOOKUP(D4391,'报价表-配送'!$B$2:$I$6,6,0)+IF(AND(MOD(H4391,30)&lt;=2.5,MOD(H4391,30)&gt;=1.5),1,0)*VLOOKUP(D4391,'报价表-配送'!$B$2:$I$6,5,0)</f>
        <v>0</v>
      </c>
      <c r="M4391" s="39">
        <f>IF(AND(MOD(H4391,30)&lt;1.5,MOD(H4391,30)&gt;=0.5),H4391,0)*VLOOKUP(D4391,'报价表-配送'!$B$2:$I$6,4,0)*1000+IF(AND(MOD(H4391,30)&lt;0.5,MOD(H4391,30)&gt;=0.02),H4391,0)*VLOOKUP(D4391,'报价表-配送'!$B$2:$I$6,3,0)*1000+IF(AND(MOD(H4391,30)&lt;0.02),H4391,0)*VLOOKUP(D4391,'报价表-配送'!$B$2:$I$6,2,0)*1000</f>
        <v>0</v>
      </c>
      <c r="N4391" s="127">
        <f t="shared" si="528"/>
        <v>0</v>
      </c>
    </row>
    <row r="4392" spans="1:14" x14ac:dyDescent="0.25">
      <c r="A4392" s="121" t="s">
        <v>99</v>
      </c>
      <c r="B4392" s="121" t="s">
        <v>101</v>
      </c>
      <c r="C4392" s="62">
        <f>VLOOKUP(B4392,合并仓明细!$D$2:$F$74,3,0)</f>
        <v>93</v>
      </c>
      <c r="D4392" s="122" t="s">
        <v>393</v>
      </c>
      <c r="E4392" s="123">
        <v>46058</v>
      </c>
      <c r="F4392" s="121" t="s">
        <v>68</v>
      </c>
      <c r="G4392" s="121">
        <v>818.33</v>
      </c>
      <c r="H4392" s="124">
        <v>6.4009800000000014</v>
      </c>
      <c r="I4392" s="46">
        <f>ROUNDUP(H4392/30,0)*VLOOKUP(D4392,'报价表-配送'!$B$2:$I$6,8,0)</f>
        <v>0</v>
      </c>
      <c r="J4392" s="125"/>
      <c r="K4392" s="125"/>
      <c r="L4392" s="121"/>
      <c r="M4392" s="126"/>
      <c r="N4392" s="127">
        <f t="shared" si="528"/>
        <v>0</v>
      </c>
    </row>
    <row r="4393" spans="1:14" x14ac:dyDescent="0.25">
      <c r="A4393" s="121" t="s">
        <v>99</v>
      </c>
      <c r="B4393" s="121" t="s">
        <v>101</v>
      </c>
      <c r="C4393" s="62">
        <f>VLOOKUP(B4393,合并仓明细!$D$2:$F$74,3,0)</f>
        <v>93</v>
      </c>
      <c r="D4393" s="122" t="s">
        <v>393</v>
      </c>
      <c r="E4393" s="123">
        <v>46058</v>
      </c>
      <c r="F4393" s="121" t="s">
        <v>67</v>
      </c>
      <c r="G4393" s="121">
        <v>3484.7100000000005</v>
      </c>
      <c r="H4393" s="124"/>
      <c r="I4393" s="125"/>
      <c r="J4393" s="125"/>
      <c r="K4393" s="125"/>
      <c r="L4393" s="121"/>
      <c r="M4393" s="126"/>
      <c r="N4393" s="121"/>
    </row>
    <row r="4394" spans="1:14" x14ac:dyDescent="0.25">
      <c r="A4394" s="121" t="s">
        <v>99</v>
      </c>
      <c r="B4394" s="121" t="s">
        <v>101</v>
      </c>
      <c r="C4394" s="62">
        <f>VLOOKUP(B4394,合并仓明细!$D$2:$F$74,3,0)</f>
        <v>93</v>
      </c>
      <c r="D4394" s="122" t="s">
        <v>393</v>
      </c>
      <c r="E4394" s="123">
        <v>46058</v>
      </c>
      <c r="F4394" s="121" t="s">
        <v>66</v>
      </c>
      <c r="G4394" s="121">
        <v>2097.94</v>
      </c>
      <c r="H4394" s="124"/>
      <c r="I4394" s="125"/>
      <c r="J4394" s="125"/>
      <c r="K4394" s="125"/>
      <c r="L4394" s="121"/>
      <c r="M4394" s="126"/>
      <c r="N4394" s="121"/>
    </row>
    <row r="4395" spans="1:14" x14ac:dyDescent="0.25">
      <c r="A4395" s="121" t="s">
        <v>99</v>
      </c>
      <c r="B4395" s="121" t="s">
        <v>101</v>
      </c>
      <c r="C4395" s="62">
        <f>VLOOKUP(B4395,合并仓明细!$D$2:$F$74,3,0)</f>
        <v>93</v>
      </c>
      <c r="D4395" s="122" t="s">
        <v>393</v>
      </c>
      <c r="E4395" s="123">
        <v>46059</v>
      </c>
      <c r="F4395" s="121" t="s">
        <v>67</v>
      </c>
      <c r="G4395" s="121">
        <v>268.01</v>
      </c>
      <c r="H4395" s="124">
        <v>0.31801000000000001</v>
      </c>
      <c r="I4395" s="38">
        <f>IF(H4395&gt;30,QUOTIENT(H4395,30)*VLOOKUP(D4395,'报价表-配送'!$B$2:$I$6,8,0),0)+IF(AND(MOD(H4395,30)&gt;18,MOD(H4395,30)&lt;=30),1,0)*VLOOKUP(D4395,'报价表-配送'!$B$2:$I$6,8,0)</f>
        <v>0</v>
      </c>
      <c r="J4395" s="38">
        <f>IF(AND(MOD(H4395,30)&gt;8,MOD(H4395,30)&lt;=18),1*VLOOKUP(D4395,'报价表-配送'!$B$2:$I$6,7,0),0)</f>
        <v>0</v>
      </c>
      <c r="K4395" s="38">
        <f>IF(AND(MOD(H4395,30)&lt;=8,MOD(H4395,30)&gt;0),1,0)*VLOOKUP(D4395,'报价表-配送'!$B$2:$I$6,6,0)</f>
        <v>0</v>
      </c>
      <c r="L4395" s="121"/>
      <c r="M4395" s="126"/>
      <c r="N4395" s="127">
        <f t="shared" ref="N4395" si="529">SUM(I4395:L4395)</f>
        <v>0</v>
      </c>
    </row>
    <row r="4396" spans="1:14" x14ac:dyDescent="0.25">
      <c r="A4396" s="121" t="s">
        <v>99</v>
      </c>
      <c r="B4396" s="121" t="s">
        <v>101</v>
      </c>
      <c r="C4396" s="62">
        <f>VLOOKUP(B4396,合并仓明细!$D$2:$F$74,3,0)</f>
        <v>93</v>
      </c>
      <c r="D4396" s="122" t="s">
        <v>393</v>
      </c>
      <c r="E4396" s="123">
        <v>46059</v>
      </c>
      <c r="F4396" s="121" t="s">
        <v>66</v>
      </c>
      <c r="G4396" s="121">
        <v>50</v>
      </c>
      <c r="H4396" s="124"/>
      <c r="I4396" s="125"/>
      <c r="J4396" s="125"/>
      <c r="K4396" s="125"/>
      <c r="L4396" s="121"/>
      <c r="M4396" s="126"/>
      <c r="N4396" s="121"/>
    </row>
    <row r="4397" spans="1:14" x14ac:dyDescent="0.25">
      <c r="A4397" s="121" t="s">
        <v>99</v>
      </c>
      <c r="B4397" s="121" t="s">
        <v>101</v>
      </c>
      <c r="C4397" s="62">
        <f>VLOOKUP(B4397,合并仓明细!$D$2:$F$74,3,0)</f>
        <v>93</v>
      </c>
      <c r="D4397" s="122" t="s">
        <v>393</v>
      </c>
      <c r="E4397" s="123">
        <v>46062</v>
      </c>
      <c r="F4397" s="121" t="s">
        <v>67</v>
      </c>
      <c r="G4397" s="121">
        <v>1324.27</v>
      </c>
      <c r="H4397" s="124">
        <v>1.5484099999999998</v>
      </c>
      <c r="I4397" s="38">
        <f>IF(H4397&gt;30,QUOTIENT(H4397,30)*VLOOKUP(D4397,'报价表-配送'!$B$2:$I$6,8,0),0)+IF(AND(MOD(H4397,30)&gt;18,MOD(H4397,30)&lt;=30),1,0)*VLOOKUP(D4397,'报价表-配送'!$B$2:$I$6,8,0)</f>
        <v>0</v>
      </c>
      <c r="J4397" s="38">
        <f>IF(AND(MOD(H4397,30)&gt;8,MOD(H4397,30)&lt;=18),1*VLOOKUP(D4397,'报价表-配送'!$B$2:$I$6,7,0),0)</f>
        <v>0</v>
      </c>
      <c r="K4397" s="38">
        <f>IF(AND(MOD(H4397,30)&lt;=8,MOD(H4397,30)&gt;0),1,0)*VLOOKUP(D4397,'报价表-配送'!$B$2:$I$6,6,0)</f>
        <v>0</v>
      </c>
      <c r="L4397" s="121"/>
      <c r="M4397" s="126"/>
      <c r="N4397" s="127">
        <f t="shared" ref="N4397" si="530">SUM(I4397:L4397)</f>
        <v>0</v>
      </c>
    </row>
    <row r="4398" spans="1:14" x14ac:dyDescent="0.25">
      <c r="A4398" s="121" t="s">
        <v>99</v>
      </c>
      <c r="B4398" s="121" t="s">
        <v>101</v>
      </c>
      <c r="C4398" s="62">
        <f>VLOOKUP(B4398,合并仓明细!$D$2:$F$74,3,0)</f>
        <v>93</v>
      </c>
      <c r="D4398" s="122" t="s">
        <v>393</v>
      </c>
      <c r="E4398" s="123">
        <v>46062</v>
      </c>
      <c r="F4398" s="121" t="s">
        <v>66</v>
      </c>
      <c r="G4398" s="121">
        <v>224.14</v>
      </c>
      <c r="H4398" s="124"/>
      <c r="I4398" s="125"/>
      <c r="J4398" s="125"/>
      <c r="K4398" s="125"/>
      <c r="L4398" s="121"/>
      <c r="M4398" s="126"/>
      <c r="N4398" s="121"/>
    </row>
    <row r="4399" spans="1:14" x14ac:dyDescent="0.25">
      <c r="A4399" s="121" t="s">
        <v>99</v>
      </c>
      <c r="B4399" s="121" t="s">
        <v>101</v>
      </c>
      <c r="C4399" s="62">
        <f>VLOOKUP(B4399,合并仓明细!$D$2:$F$74,3,0)</f>
        <v>93</v>
      </c>
      <c r="D4399" s="122" t="s">
        <v>393</v>
      </c>
      <c r="E4399" s="123">
        <v>46063</v>
      </c>
      <c r="F4399" s="121" t="s">
        <v>66</v>
      </c>
      <c r="G4399" s="121">
        <v>1.0000000000000002</v>
      </c>
      <c r="H4399" s="124">
        <v>1.0000000000000002E-3</v>
      </c>
      <c r="I4399" s="125"/>
      <c r="J4399" s="125"/>
      <c r="K4399" s="125"/>
      <c r="L4399" s="37">
        <f>IF(H4399&gt;30,QUOTIENT(H4399,30)*VLOOKUP(D4399,'报价表-配送'!$B$2:$I$6,8,0),0)+IF(AND(MOD(H4399,30)&gt;18,MOD(H4399,30)&lt;=30),1,0)*VLOOKUP(D4399,'报价表-配送'!$B$2:$I$6,8,0)+IF(AND(MOD(H4399,30)&gt;8,MOD(H4399,30)&lt;=18),1*VLOOKUP(D4399,'报价表-配送'!$B$2:$I$6,7,0),0)+IF(AND(MOD(H4399,30)&lt;=8,MOD(H4399,30)&gt;2.5),1,0)*VLOOKUP(D4399,'报价表-配送'!$B$2:$I$6,6,0)+IF(AND(MOD(H4399,30)&lt;=2.5,MOD(H4399,30)&gt;=1.5),1,0)*VLOOKUP(D4399,'报价表-配送'!$B$2:$I$6,5,0)</f>
        <v>0</v>
      </c>
      <c r="M4399" s="39">
        <f>IF(AND(MOD(H4399,30)&lt;1.5,MOD(H4399,30)&gt;=0.5),H4399,0)*VLOOKUP(D4399,'报价表-配送'!$B$2:$I$6,4,0)*1000+IF(AND(MOD(H4399,30)&lt;0.5,MOD(H4399,30)&gt;=0.02),H4399,0)*VLOOKUP(D4399,'报价表-配送'!$B$2:$I$6,3,0)*1000+IF(AND(MOD(H4399,30)&lt;0.02),H4399,0)*VLOOKUP(D4399,'报价表-配送'!$B$2:$I$6,2,0)*1000</f>
        <v>0</v>
      </c>
      <c r="N4399" s="127">
        <f t="shared" ref="N4399:N4402" si="531">SUM(I4399:L4399)</f>
        <v>0</v>
      </c>
    </row>
    <row r="4400" spans="1:14" x14ac:dyDescent="0.25">
      <c r="A4400" s="121" t="s">
        <v>99</v>
      </c>
      <c r="B4400" s="121" t="s">
        <v>101</v>
      </c>
      <c r="C4400" s="62">
        <f>VLOOKUP(B4400,合并仓明细!$D$2:$F$74,3,0)</f>
        <v>93</v>
      </c>
      <c r="D4400" s="122" t="s">
        <v>393</v>
      </c>
      <c r="E4400" s="123">
        <v>46064</v>
      </c>
      <c r="F4400" s="121" t="s">
        <v>66</v>
      </c>
      <c r="G4400" s="121">
        <v>453.45</v>
      </c>
      <c r="H4400" s="124">
        <v>0.45344999999999996</v>
      </c>
      <c r="I4400" s="125"/>
      <c r="J4400" s="125"/>
      <c r="K4400" s="125"/>
      <c r="L4400" s="37">
        <f>IF(H4400&gt;30,QUOTIENT(H4400,30)*VLOOKUP(D4400,'报价表-配送'!$B$2:$I$6,8,0),0)+IF(AND(MOD(H4400,30)&gt;18,MOD(H4400,30)&lt;=30),1,0)*VLOOKUP(D4400,'报价表-配送'!$B$2:$I$6,8,0)+IF(AND(MOD(H4400,30)&gt;8,MOD(H4400,30)&lt;=18),1*VLOOKUP(D4400,'报价表-配送'!$B$2:$I$6,7,0),0)+IF(AND(MOD(H4400,30)&lt;=8,MOD(H4400,30)&gt;2.5),1,0)*VLOOKUP(D4400,'报价表-配送'!$B$2:$I$6,6,0)+IF(AND(MOD(H4400,30)&lt;=2.5,MOD(H4400,30)&gt;=1.5),1,0)*VLOOKUP(D4400,'报价表-配送'!$B$2:$I$6,5,0)</f>
        <v>0</v>
      </c>
      <c r="M4400" s="39">
        <f>IF(AND(MOD(H4400,30)&lt;1.5,MOD(H4400,30)&gt;=0.5),H4400,0)*VLOOKUP(D4400,'报价表-配送'!$B$2:$I$6,4,0)*1000+IF(AND(MOD(H4400,30)&lt;0.5,MOD(H4400,30)&gt;=0.02),H4400,0)*VLOOKUP(D4400,'报价表-配送'!$B$2:$I$6,3,0)*1000+IF(AND(MOD(H4400,30)&lt;0.02),H4400,0)*VLOOKUP(D4400,'报价表-配送'!$B$2:$I$6,2,0)*1000</f>
        <v>0</v>
      </c>
      <c r="N4400" s="127">
        <f t="shared" si="531"/>
        <v>0</v>
      </c>
    </row>
    <row r="4401" spans="1:14" x14ac:dyDescent="0.25">
      <c r="A4401" s="121" t="s">
        <v>99</v>
      </c>
      <c r="B4401" s="121" t="s">
        <v>101</v>
      </c>
      <c r="C4401" s="62">
        <f>VLOOKUP(B4401,合并仓明细!$D$2:$F$74,3,0)</f>
        <v>93</v>
      </c>
      <c r="D4401" s="122" t="s">
        <v>393</v>
      </c>
      <c r="E4401" s="123">
        <v>46066</v>
      </c>
      <c r="F4401" s="121" t="s">
        <v>66</v>
      </c>
      <c r="G4401" s="121">
        <v>29.73</v>
      </c>
      <c r="H4401" s="124">
        <v>2.9729999999999999E-2</v>
      </c>
      <c r="I4401" s="125"/>
      <c r="J4401" s="125"/>
      <c r="K4401" s="125"/>
      <c r="L4401" s="37">
        <f>IF(H4401&gt;30,QUOTIENT(H4401,30)*VLOOKUP(D4401,'报价表-配送'!$B$2:$I$6,8,0),0)+IF(AND(MOD(H4401,30)&gt;18,MOD(H4401,30)&lt;=30),1,0)*VLOOKUP(D4401,'报价表-配送'!$B$2:$I$6,8,0)+IF(AND(MOD(H4401,30)&gt;8,MOD(H4401,30)&lt;=18),1*VLOOKUP(D4401,'报价表-配送'!$B$2:$I$6,7,0),0)+IF(AND(MOD(H4401,30)&lt;=8,MOD(H4401,30)&gt;2.5),1,0)*VLOOKUP(D4401,'报价表-配送'!$B$2:$I$6,6,0)+IF(AND(MOD(H4401,30)&lt;=2.5,MOD(H4401,30)&gt;=1.5),1,0)*VLOOKUP(D4401,'报价表-配送'!$B$2:$I$6,5,0)</f>
        <v>0</v>
      </c>
      <c r="M4401" s="39">
        <f>IF(AND(MOD(H4401,30)&lt;1.5,MOD(H4401,30)&gt;=0.5),H4401,0)*VLOOKUP(D4401,'报价表-配送'!$B$2:$I$6,4,0)*1000+IF(AND(MOD(H4401,30)&lt;0.5,MOD(H4401,30)&gt;=0.02),H4401,0)*VLOOKUP(D4401,'报价表-配送'!$B$2:$I$6,3,0)*1000+IF(AND(MOD(H4401,30)&lt;0.02),H4401,0)*VLOOKUP(D4401,'报价表-配送'!$B$2:$I$6,2,0)*1000</f>
        <v>0</v>
      </c>
      <c r="N4401" s="127">
        <f t="shared" si="531"/>
        <v>0</v>
      </c>
    </row>
    <row r="4402" spans="1:14" x14ac:dyDescent="0.25">
      <c r="A4402" s="121" t="s">
        <v>99</v>
      </c>
      <c r="B4402" s="121" t="s">
        <v>101</v>
      </c>
      <c r="C4402" s="62">
        <f>VLOOKUP(B4402,合并仓明细!$D$2:$F$74,3,0)</f>
        <v>93</v>
      </c>
      <c r="D4402" s="122" t="s">
        <v>393</v>
      </c>
      <c r="E4402" s="123">
        <v>46078</v>
      </c>
      <c r="F4402" s="121" t="s">
        <v>67</v>
      </c>
      <c r="G4402" s="121">
        <v>160.19</v>
      </c>
      <c r="H4402" s="124">
        <v>0.18981000000000001</v>
      </c>
      <c r="I4402" s="38">
        <f>IF(H4402&gt;30,QUOTIENT(H4402,30)*VLOOKUP(D4402,'报价表-配送'!$B$2:$I$6,8,0),0)+IF(AND(MOD(H4402,30)&gt;18,MOD(H4402,30)&lt;=30),1,0)*VLOOKUP(D4402,'报价表-配送'!$B$2:$I$6,8,0)</f>
        <v>0</v>
      </c>
      <c r="J4402" s="38">
        <f>IF(AND(MOD(H4402,30)&gt;8,MOD(H4402,30)&lt;=18),1*VLOOKUP(D4402,'报价表-配送'!$B$2:$I$6,7,0),0)</f>
        <v>0</v>
      </c>
      <c r="K4402" s="38">
        <f>IF(AND(MOD(H4402,30)&lt;=8,MOD(H4402,30)&gt;0),1,0)*VLOOKUP(D4402,'报价表-配送'!$B$2:$I$6,6,0)</f>
        <v>0</v>
      </c>
      <c r="L4402" s="121"/>
      <c r="M4402" s="126"/>
      <c r="N4402" s="127">
        <f t="shared" si="531"/>
        <v>0</v>
      </c>
    </row>
    <row r="4403" spans="1:14" x14ac:dyDescent="0.25">
      <c r="A4403" s="121" t="s">
        <v>99</v>
      </c>
      <c r="B4403" s="121" t="s">
        <v>101</v>
      </c>
      <c r="C4403" s="62">
        <f>VLOOKUP(B4403,合并仓明细!$D$2:$F$74,3,0)</f>
        <v>93</v>
      </c>
      <c r="D4403" s="122" t="s">
        <v>393</v>
      </c>
      <c r="E4403" s="123">
        <v>46078</v>
      </c>
      <c r="F4403" s="121" t="s">
        <v>66</v>
      </c>
      <c r="G4403" s="121">
        <v>29.62</v>
      </c>
      <c r="H4403" s="124"/>
      <c r="I4403" s="125"/>
      <c r="J4403" s="125"/>
      <c r="K4403" s="125"/>
      <c r="L4403" s="121"/>
      <c r="M4403" s="126"/>
      <c r="N4403" s="121"/>
    </row>
    <row r="4404" spans="1:14" x14ac:dyDescent="0.25">
      <c r="A4404" s="121" t="s">
        <v>99</v>
      </c>
      <c r="B4404" s="121" t="s">
        <v>101</v>
      </c>
      <c r="C4404" s="62">
        <f>VLOOKUP(B4404,合并仓明细!$D$2:$F$74,3,0)</f>
        <v>93</v>
      </c>
      <c r="D4404" s="122" t="s">
        <v>393</v>
      </c>
      <c r="E4404" s="123">
        <v>46079</v>
      </c>
      <c r="F4404" s="121" t="s">
        <v>66</v>
      </c>
      <c r="G4404" s="121">
        <v>34.04</v>
      </c>
      <c r="H4404" s="124">
        <v>3.4040000000000001E-2</v>
      </c>
      <c r="I4404" s="125"/>
      <c r="J4404" s="125"/>
      <c r="K4404" s="125"/>
      <c r="L4404" s="37">
        <f>IF(H4404&gt;30,QUOTIENT(H4404,30)*VLOOKUP(D4404,'报价表-配送'!$B$2:$I$6,8,0),0)+IF(AND(MOD(H4404,30)&gt;18,MOD(H4404,30)&lt;=30),1,0)*VLOOKUP(D4404,'报价表-配送'!$B$2:$I$6,8,0)+IF(AND(MOD(H4404,30)&gt;8,MOD(H4404,30)&lt;=18),1*VLOOKUP(D4404,'报价表-配送'!$B$2:$I$6,7,0),0)+IF(AND(MOD(H4404,30)&lt;=8,MOD(H4404,30)&gt;2.5),1,0)*VLOOKUP(D4404,'报价表-配送'!$B$2:$I$6,6,0)+IF(AND(MOD(H4404,30)&lt;=2.5,MOD(H4404,30)&gt;=1.5),1,0)*VLOOKUP(D4404,'报价表-配送'!$B$2:$I$6,5,0)</f>
        <v>0</v>
      </c>
      <c r="M4404" s="39">
        <f>IF(AND(MOD(H4404,30)&lt;1.5,MOD(H4404,30)&gt;=0.5),H4404,0)*VLOOKUP(D4404,'报价表-配送'!$B$2:$I$6,4,0)*1000+IF(AND(MOD(H4404,30)&lt;0.5,MOD(H4404,30)&gt;=0.02),H4404,0)*VLOOKUP(D4404,'报价表-配送'!$B$2:$I$6,3,0)*1000+IF(AND(MOD(H4404,30)&lt;0.02),H4404,0)*VLOOKUP(D4404,'报价表-配送'!$B$2:$I$6,2,0)*1000</f>
        <v>0</v>
      </c>
      <c r="N4404" s="127">
        <f t="shared" ref="N4404:N4412" si="532">SUM(I4404:L4404)</f>
        <v>0</v>
      </c>
    </row>
    <row r="4405" spans="1:14" x14ac:dyDescent="0.25">
      <c r="A4405" s="121" t="s">
        <v>99</v>
      </c>
      <c r="B4405" s="121" t="s">
        <v>101</v>
      </c>
      <c r="C4405" s="62">
        <f>VLOOKUP(B4405,合并仓明细!$D$2:$F$74,3,0)</f>
        <v>93</v>
      </c>
      <c r="D4405" s="122" t="s">
        <v>393</v>
      </c>
      <c r="E4405" s="123">
        <v>46080</v>
      </c>
      <c r="F4405" s="121" t="s">
        <v>66</v>
      </c>
      <c r="G4405" s="121">
        <v>1.2000000000000002</v>
      </c>
      <c r="H4405" s="124">
        <v>1.2000000000000001E-3</v>
      </c>
      <c r="I4405" s="125"/>
      <c r="J4405" s="125"/>
      <c r="K4405" s="125"/>
      <c r="L4405" s="37">
        <f>IF(H4405&gt;30,QUOTIENT(H4405,30)*VLOOKUP(D4405,'报价表-配送'!$B$2:$I$6,8,0),0)+IF(AND(MOD(H4405,30)&gt;18,MOD(H4405,30)&lt;=30),1,0)*VLOOKUP(D4405,'报价表-配送'!$B$2:$I$6,8,0)+IF(AND(MOD(H4405,30)&gt;8,MOD(H4405,30)&lt;=18),1*VLOOKUP(D4405,'报价表-配送'!$B$2:$I$6,7,0),0)+IF(AND(MOD(H4405,30)&lt;=8,MOD(H4405,30)&gt;2.5),1,0)*VLOOKUP(D4405,'报价表-配送'!$B$2:$I$6,6,0)+IF(AND(MOD(H4405,30)&lt;=2.5,MOD(H4405,30)&gt;=1.5),1,0)*VLOOKUP(D4405,'报价表-配送'!$B$2:$I$6,5,0)</f>
        <v>0</v>
      </c>
      <c r="M4405" s="39">
        <f>IF(AND(MOD(H4405,30)&lt;1.5,MOD(H4405,30)&gt;=0.5),H4405,0)*VLOOKUP(D4405,'报价表-配送'!$B$2:$I$6,4,0)*1000+IF(AND(MOD(H4405,30)&lt;0.5,MOD(H4405,30)&gt;=0.02),H4405,0)*VLOOKUP(D4405,'报价表-配送'!$B$2:$I$6,3,0)*1000+IF(AND(MOD(H4405,30)&lt;0.02),H4405,0)*VLOOKUP(D4405,'报价表-配送'!$B$2:$I$6,2,0)*1000</f>
        <v>0</v>
      </c>
      <c r="N4405" s="127">
        <f t="shared" si="532"/>
        <v>0</v>
      </c>
    </row>
    <row r="4406" spans="1:14" x14ac:dyDescent="0.25">
      <c r="A4406" s="121" t="s">
        <v>99</v>
      </c>
      <c r="B4406" s="121" t="s">
        <v>101</v>
      </c>
      <c r="C4406" s="62">
        <f>VLOOKUP(B4406,合并仓明细!$D$2:$F$74,3,0)</f>
        <v>93</v>
      </c>
      <c r="D4406" s="122" t="s">
        <v>393</v>
      </c>
      <c r="E4406" s="123">
        <v>46083</v>
      </c>
      <c r="F4406" s="121" t="s">
        <v>66</v>
      </c>
      <c r="G4406" s="121">
        <v>25.619999999999997</v>
      </c>
      <c r="H4406" s="124">
        <v>2.5619999999999997E-2</v>
      </c>
      <c r="I4406" s="125"/>
      <c r="J4406" s="125"/>
      <c r="K4406" s="125"/>
      <c r="L4406" s="37">
        <f>IF(H4406&gt;30,QUOTIENT(H4406,30)*VLOOKUP(D4406,'报价表-配送'!$B$2:$I$6,8,0),0)+IF(AND(MOD(H4406,30)&gt;18,MOD(H4406,30)&lt;=30),1,0)*VLOOKUP(D4406,'报价表-配送'!$B$2:$I$6,8,0)+IF(AND(MOD(H4406,30)&gt;8,MOD(H4406,30)&lt;=18),1*VLOOKUP(D4406,'报价表-配送'!$B$2:$I$6,7,0),0)+IF(AND(MOD(H4406,30)&lt;=8,MOD(H4406,30)&gt;2.5),1,0)*VLOOKUP(D4406,'报价表-配送'!$B$2:$I$6,6,0)+IF(AND(MOD(H4406,30)&lt;=2.5,MOD(H4406,30)&gt;=1.5),1,0)*VLOOKUP(D4406,'报价表-配送'!$B$2:$I$6,5,0)</f>
        <v>0</v>
      </c>
      <c r="M4406" s="39">
        <f>IF(AND(MOD(H4406,30)&lt;1.5,MOD(H4406,30)&gt;=0.5),H4406,0)*VLOOKUP(D4406,'报价表-配送'!$B$2:$I$6,4,0)*1000+IF(AND(MOD(H4406,30)&lt;0.5,MOD(H4406,30)&gt;=0.02),H4406,0)*VLOOKUP(D4406,'报价表-配送'!$B$2:$I$6,3,0)*1000+IF(AND(MOD(H4406,30)&lt;0.02),H4406,0)*VLOOKUP(D4406,'报价表-配送'!$B$2:$I$6,2,0)*1000</f>
        <v>0</v>
      </c>
      <c r="N4406" s="127">
        <f t="shared" si="532"/>
        <v>0</v>
      </c>
    </row>
    <row r="4407" spans="1:14" x14ac:dyDescent="0.25">
      <c r="A4407" s="121" t="s">
        <v>99</v>
      </c>
      <c r="B4407" s="121" t="s">
        <v>101</v>
      </c>
      <c r="C4407" s="62">
        <f>VLOOKUP(B4407,合并仓明细!$D$2:$F$74,3,0)</f>
        <v>93</v>
      </c>
      <c r="D4407" s="122" t="s">
        <v>393</v>
      </c>
      <c r="E4407" s="123">
        <v>46085</v>
      </c>
      <c r="F4407" s="121" t="s">
        <v>66</v>
      </c>
      <c r="G4407" s="121">
        <v>16.52</v>
      </c>
      <c r="H4407" s="124">
        <v>1.652E-2</v>
      </c>
      <c r="I4407" s="125"/>
      <c r="J4407" s="125"/>
      <c r="K4407" s="125"/>
      <c r="L4407" s="37">
        <f>IF(H4407&gt;30,QUOTIENT(H4407,30)*VLOOKUP(D4407,'报价表-配送'!$B$2:$I$6,8,0),0)+IF(AND(MOD(H4407,30)&gt;18,MOD(H4407,30)&lt;=30),1,0)*VLOOKUP(D4407,'报价表-配送'!$B$2:$I$6,8,0)+IF(AND(MOD(H4407,30)&gt;8,MOD(H4407,30)&lt;=18),1*VLOOKUP(D4407,'报价表-配送'!$B$2:$I$6,7,0),0)+IF(AND(MOD(H4407,30)&lt;=8,MOD(H4407,30)&gt;2.5),1,0)*VLOOKUP(D4407,'报价表-配送'!$B$2:$I$6,6,0)+IF(AND(MOD(H4407,30)&lt;=2.5,MOD(H4407,30)&gt;=1.5),1,0)*VLOOKUP(D4407,'报价表-配送'!$B$2:$I$6,5,0)</f>
        <v>0</v>
      </c>
      <c r="M4407" s="39">
        <f>IF(AND(MOD(H4407,30)&lt;1.5,MOD(H4407,30)&gt;=0.5),H4407,0)*VLOOKUP(D4407,'报价表-配送'!$B$2:$I$6,4,0)*1000+IF(AND(MOD(H4407,30)&lt;0.5,MOD(H4407,30)&gt;=0.02),H4407,0)*VLOOKUP(D4407,'报价表-配送'!$B$2:$I$6,3,0)*1000+IF(AND(MOD(H4407,30)&lt;0.02),H4407,0)*VLOOKUP(D4407,'报价表-配送'!$B$2:$I$6,2,0)*1000</f>
        <v>0</v>
      </c>
      <c r="N4407" s="127">
        <f t="shared" si="532"/>
        <v>0</v>
      </c>
    </row>
    <row r="4408" spans="1:14" x14ac:dyDescent="0.25">
      <c r="A4408" s="121" t="s">
        <v>99</v>
      </c>
      <c r="B4408" s="121" t="s">
        <v>101</v>
      </c>
      <c r="C4408" s="62">
        <f>VLOOKUP(B4408,合并仓明细!$D$2:$F$74,3,0)</f>
        <v>93</v>
      </c>
      <c r="D4408" s="122" t="s">
        <v>393</v>
      </c>
      <c r="E4408" s="123">
        <v>46087</v>
      </c>
      <c r="F4408" s="121" t="s">
        <v>66</v>
      </c>
      <c r="G4408" s="121">
        <v>196.69</v>
      </c>
      <c r="H4408" s="124">
        <v>0.19669</v>
      </c>
      <c r="I4408" s="125"/>
      <c r="J4408" s="125"/>
      <c r="K4408" s="125"/>
      <c r="L4408" s="37">
        <f>IF(H4408&gt;30,QUOTIENT(H4408,30)*VLOOKUP(D4408,'报价表-配送'!$B$2:$I$6,8,0),0)+IF(AND(MOD(H4408,30)&gt;18,MOD(H4408,30)&lt;=30),1,0)*VLOOKUP(D4408,'报价表-配送'!$B$2:$I$6,8,0)+IF(AND(MOD(H4408,30)&gt;8,MOD(H4408,30)&lt;=18),1*VLOOKUP(D4408,'报价表-配送'!$B$2:$I$6,7,0),0)+IF(AND(MOD(H4408,30)&lt;=8,MOD(H4408,30)&gt;2.5),1,0)*VLOOKUP(D4408,'报价表-配送'!$B$2:$I$6,6,0)+IF(AND(MOD(H4408,30)&lt;=2.5,MOD(H4408,30)&gt;=1.5),1,0)*VLOOKUP(D4408,'报价表-配送'!$B$2:$I$6,5,0)</f>
        <v>0</v>
      </c>
      <c r="M4408" s="39">
        <f>IF(AND(MOD(H4408,30)&lt;1.5,MOD(H4408,30)&gt;=0.5),H4408,0)*VLOOKUP(D4408,'报价表-配送'!$B$2:$I$6,4,0)*1000+IF(AND(MOD(H4408,30)&lt;0.5,MOD(H4408,30)&gt;=0.02),H4408,0)*VLOOKUP(D4408,'报价表-配送'!$B$2:$I$6,3,0)*1000+IF(AND(MOD(H4408,30)&lt;0.02),H4408,0)*VLOOKUP(D4408,'报价表-配送'!$B$2:$I$6,2,0)*1000</f>
        <v>0</v>
      </c>
      <c r="N4408" s="127">
        <f t="shared" si="532"/>
        <v>0</v>
      </c>
    </row>
    <row r="4409" spans="1:14" x14ac:dyDescent="0.25">
      <c r="A4409" s="121" t="s">
        <v>99</v>
      </c>
      <c r="B4409" s="121" t="s">
        <v>101</v>
      </c>
      <c r="C4409" s="62">
        <f>VLOOKUP(B4409,合并仓明细!$D$2:$F$74,3,0)</f>
        <v>93</v>
      </c>
      <c r="D4409" s="122" t="s">
        <v>393</v>
      </c>
      <c r="E4409" s="123">
        <v>46090</v>
      </c>
      <c r="F4409" s="121" t="s">
        <v>66</v>
      </c>
      <c r="G4409" s="121">
        <v>48.459999999999994</v>
      </c>
      <c r="H4409" s="124">
        <v>4.8459999999999996E-2</v>
      </c>
      <c r="I4409" s="125"/>
      <c r="J4409" s="125"/>
      <c r="K4409" s="125"/>
      <c r="L4409" s="37">
        <f>IF(H4409&gt;30,QUOTIENT(H4409,30)*VLOOKUP(D4409,'报价表-配送'!$B$2:$I$6,8,0),0)+IF(AND(MOD(H4409,30)&gt;18,MOD(H4409,30)&lt;=30),1,0)*VLOOKUP(D4409,'报价表-配送'!$B$2:$I$6,8,0)+IF(AND(MOD(H4409,30)&gt;8,MOD(H4409,30)&lt;=18),1*VLOOKUP(D4409,'报价表-配送'!$B$2:$I$6,7,0),0)+IF(AND(MOD(H4409,30)&lt;=8,MOD(H4409,30)&gt;2.5),1,0)*VLOOKUP(D4409,'报价表-配送'!$B$2:$I$6,6,0)+IF(AND(MOD(H4409,30)&lt;=2.5,MOD(H4409,30)&gt;=1.5),1,0)*VLOOKUP(D4409,'报价表-配送'!$B$2:$I$6,5,0)</f>
        <v>0</v>
      </c>
      <c r="M4409" s="39">
        <f>IF(AND(MOD(H4409,30)&lt;1.5,MOD(H4409,30)&gt;=0.5),H4409,0)*VLOOKUP(D4409,'报价表-配送'!$B$2:$I$6,4,0)*1000+IF(AND(MOD(H4409,30)&lt;0.5,MOD(H4409,30)&gt;=0.02),H4409,0)*VLOOKUP(D4409,'报价表-配送'!$B$2:$I$6,3,0)*1000+IF(AND(MOD(H4409,30)&lt;0.02),H4409,0)*VLOOKUP(D4409,'报价表-配送'!$B$2:$I$6,2,0)*1000</f>
        <v>0</v>
      </c>
      <c r="N4409" s="127">
        <f t="shared" si="532"/>
        <v>0</v>
      </c>
    </row>
    <row r="4410" spans="1:14" x14ac:dyDescent="0.25">
      <c r="A4410" s="121" t="s">
        <v>99</v>
      </c>
      <c r="B4410" s="121" t="s">
        <v>101</v>
      </c>
      <c r="C4410" s="62">
        <f>VLOOKUP(B4410,合并仓明细!$D$2:$F$74,3,0)</f>
        <v>93</v>
      </c>
      <c r="D4410" s="122" t="s">
        <v>393</v>
      </c>
      <c r="E4410" s="123">
        <v>46091</v>
      </c>
      <c r="F4410" s="121" t="s">
        <v>66</v>
      </c>
      <c r="G4410" s="121">
        <v>10.67</v>
      </c>
      <c r="H4410" s="124">
        <v>1.0670000000000001E-2</v>
      </c>
      <c r="I4410" s="125"/>
      <c r="J4410" s="125"/>
      <c r="K4410" s="125"/>
      <c r="L4410" s="37">
        <f>IF(H4410&gt;30,QUOTIENT(H4410,30)*VLOOKUP(D4410,'报价表-配送'!$B$2:$I$6,8,0),0)+IF(AND(MOD(H4410,30)&gt;18,MOD(H4410,30)&lt;=30),1,0)*VLOOKUP(D4410,'报价表-配送'!$B$2:$I$6,8,0)+IF(AND(MOD(H4410,30)&gt;8,MOD(H4410,30)&lt;=18),1*VLOOKUP(D4410,'报价表-配送'!$B$2:$I$6,7,0),0)+IF(AND(MOD(H4410,30)&lt;=8,MOD(H4410,30)&gt;2.5),1,0)*VLOOKUP(D4410,'报价表-配送'!$B$2:$I$6,6,0)+IF(AND(MOD(H4410,30)&lt;=2.5,MOD(H4410,30)&gt;=1.5),1,0)*VLOOKUP(D4410,'报价表-配送'!$B$2:$I$6,5,0)</f>
        <v>0</v>
      </c>
      <c r="M4410" s="39">
        <f>IF(AND(MOD(H4410,30)&lt;1.5,MOD(H4410,30)&gt;=0.5),H4410,0)*VLOOKUP(D4410,'报价表-配送'!$B$2:$I$6,4,0)*1000+IF(AND(MOD(H4410,30)&lt;0.5,MOD(H4410,30)&gt;=0.02),H4410,0)*VLOOKUP(D4410,'报价表-配送'!$B$2:$I$6,3,0)*1000+IF(AND(MOD(H4410,30)&lt;0.02),H4410,0)*VLOOKUP(D4410,'报价表-配送'!$B$2:$I$6,2,0)*1000</f>
        <v>0</v>
      </c>
      <c r="N4410" s="127">
        <f t="shared" si="532"/>
        <v>0</v>
      </c>
    </row>
    <row r="4411" spans="1:14" x14ac:dyDescent="0.25">
      <c r="A4411" s="121" t="s">
        <v>99</v>
      </c>
      <c r="B4411" s="121" t="s">
        <v>101</v>
      </c>
      <c r="C4411" s="62">
        <f>VLOOKUP(B4411,合并仓明细!$D$2:$F$74,3,0)</f>
        <v>93</v>
      </c>
      <c r="D4411" s="122" t="s">
        <v>393</v>
      </c>
      <c r="E4411" s="123">
        <v>46092</v>
      </c>
      <c r="F4411" s="121" t="s">
        <v>66</v>
      </c>
      <c r="G4411" s="121">
        <v>808.68999999999994</v>
      </c>
      <c r="H4411" s="124">
        <v>0.80868999999999991</v>
      </c>
      <c r="I4411" s="125"/>
      <c r="J4411" s="125"/>
      <c r="K4411" s="125"/>
      <c r="L4411" s="37">
        <f>IF(H4411&gt;30,QUOTIENT(H4411,30)*VLOOKUP(D4411,'报价表-配送'!$B$2:$I$6,8,0),0)+IF(AND(MOD(H4411,30)&gt;18,MOD(H4411,30)&lt;=30),1,0)*VLOOKUP(D4411,'报价表-配送'!$B$2:$I$6,8,0)+IF(AND(MOD(H4411,30)&gt;8,MOD(H4411,30)&lt;=18),1*VLOOKUP(D4411,'报价表-配送'!$B$2:$I$6,7,0),0)+IF(AND(MOD(H4411,30)&lt;=8,MOD(H4411,30)&gt;2.5),1,0)*VLOOKUP(D4411,'报价表-配送'!$B$2:$I$6,6,0)+IF(AND(MOD(H4411,30)&lt;=2.5,MOD(H4411,30)&gt;=1.5),1,0)*VLOOKUP(D4411,'报价表-配送'!$B$2:$I$6,5,0)</f>
        <v>0</v>
      </c>
      <c r="M4411" s="39">
        <f>IF(AND(MOD(H4411,30)&lt;1.5,MOD(H4411,30)&gt;=0.5),H4411,0)*VLOOKUP(D4411,'报价表-配送'!$B$2:$I$6,4,0)*1000+IF(AND(MOD(H4411,30)&lt;0.5,MOD(H4411,30)&gt;=0.02),H4411,0)*VLOOKUP(D4411,'报价表-配送'!$B$2:$I$6,3,0)*1000+IF(AND(MOD(H4411,30)&lt;0.02),H4411,0)*VLOOKUP(D4411,'报价表-配送'!$B$2:$I$6,2,0)*1000</f>
        <v>0</v>
      </c>
      <c r="N4411" s="127">
        <f t="shared" si="532"/>
        <v>0</v>
      </c>
    </row>
    <row r="4412" spans="1:14" x14ac:dyDescent="0.25">
      <c r="A4412" s="121" t="s">
        <v>99</v>
      </c>
      <c r="B4412" s="121" t="s">
        <v>101</v>
      </c>
      <c r="C4412" s="62">
        <f>VLOOKUP(B4412,合并仓明细!$D$2:$F$74,3,0)</f>
        <v>93</v>
      </c>
      <c r="D4412" s="122" t="s">
        <v>393</v>
      </c>
      <c r="E4412" s="123">
        <v>46093</v>
      </c>
      <c r="F4412" s="121" t="s">
        <v>68</v>
      </c>
      <c r="G4412" s="121">
        <v>211.21</v>
      </c>
      <c r="H4412" s="124">
        <v>0.37261</v>
      </c>
      <c r="I4412" s="46">
        <f>ROUNDUP(H4412/30,0)*VLOOKUP(D4412,'报价表-配送'!$B$2:$I$6,8,0)</f>
        <v>0</v>
      </c>
      <c r="J4412" s="125"/>
      <c r="K4412" s="125"/>
      <c r="L4412" s="121"/>
      <c r="M4412" s="126"/>
      <c r="N4412" s="127">
        <f t="shared" si="532"/>
        <v>0</v>
      </c>
    </row>
    <row r="4413" spans="1:14" x14ac:dyDescent="0.25">
      <c r="A4413" s="121" t="s">
        <v>99</v>
      </c>
      <c r="B4413" s="121" t="s">
        <v>101</v>
      </c>
      <c r="C4413" s="62">
        <f>VLOOKUP(B4413,合并仓明细!$D$2:$F$74,3,0)</f>
        <v>93</v>
      </c>
      <c r="D4413" s="122" t="s">
        <v>393</v>
      </c>
      <c r="E4413" s="123">
        <v>46093</v>
      </c>
      <c r="F4413" s="121" t="s">
        <v>67</v>
      </c>
      <c r="G4413" s="121">
        <v>10.8</v>
      </c>
      <c r="H4413" s="124"/>
      <c r="I4413" s="125"/>
      <c r="J4413" s="125"/>
      <c r="K4413" s="125"/>
      <c r="L4413" s="121"/>
      <c r="M4413" s="126"/>
      <c r="N4413" s="121"/>
    </row>
    <row r="4414" spans="1:14" x14ac:dyDescent="0.25">
      <c r="A4414" s="121" t="s">
        <v>99</v>
      </c>
      <c r="B4414" s="121" t="s">
        <v>101</v>
      </c>
      <c r="C4414" s="62">
        <f>VLOOKUP(B4414,合并仓明细!$D$2:$F$74,3,0)</f>
        <v>93</v>
      </c>
      <c r="D4414" s="122" t="s">
        <v>393</v>
      </c>
      <c r="E4414" s="123">
        <v>46093</v>
      </c>
      <c r="F4414" s="121" t="s">
        <v>66</v>
      </c>
      <c r="G4414" s="121">
        <v>150.6</v>
      </c>
      <c r="H4414" s="124"/>
      <c r="I4414" s="125"/>
      <c r="J4414" s="125"/>
      <c r="K4414" s="125"/>
      <c r="L4414" s="121"/>
      <c r="M4414" s="126"/>
      <c r="N4414" s="121"/>
    </row>
    <row r="4415" spans="1:14" x14ac:dyDescent="0.25">
      <c r="A4415" s="121" t="s">
        <v>99</v>
      </c>
      <c r="B4415" s="121" t="s">
        <v>101</v>
      </c>
      <c r="C4415" s="62">
        <f>VLOOKUP(B4415,合并仓明细!$D$2:$F$74,3,0)</f>
        <v>93</v>
      </c>
      <c r="D4415" s="122" t="s">
        <v>393</v>
      </c>
      <c r="E4415" s="123">
        <v>46094</v>
      </c>
      <c r="F4415" s="121" t="s">
        <v>67</v>
      </c>
      <c r="G4415" s="121">
        <v>15582.56</v>
      </c>
      <c r="H4415" s="124">
        <v>15.942639999999999</v>
      </c>
      <c r="I4415" s="38">
        <f>IF(H4415&gt;30,QUOTIENT(H4415,30)*VLOOKUP(D4415,'报价表-配送'!$B$2:$I$6,8,0),0)+IF(AND(MOD(H4415,30)&gt;18,MOD(H4415,30)&lt;=30),1,0)*VLOOKUP(D4415,'报价表-配送'!$B$2:$I$6,8,0)</f>
        <v>0</v>
      </c>
      <c r="J4415" s="38">
        <f>IF(AND(MOD(H4415,30)&gt;8,MOD(H4415,30)&lt;=18),1*VLOOKUP(D4415,'报价表-配送'!$B$2:$I$6,7,0),0)</f>
        <v>0</v>
      </c>
      <c r="K4415" s="38">
        <f>IF(AND(MOD(H4415,30)&lt;=8,MOD(H4415,30)&gt;0),1,0)*VLOOKUP(D4415,'报价表-配送'!$B$2:$I$6,6,0)</f>
        <v>0</v>
      </c>
      <c r="L4415" s="121"/>
      <c r="M4415" s="126"/>
      <c r="N4415" s="127">
        <f t="shared" ref="N4415" si="533">SUM(I4415:L4415)</f>
        <v>0</v>
      </c>
    </row>
    <row r="4416" spans="1:14" x14ac:dyDescent="0.25">
      <c r="A4416" s="121" t="s">
        <v>99</v>
      </c>
      <c r="B4416" s="121" t="s">
        <v>101</v>
      </c>
      <c r="C4416" s="62">
        <f>VLOOKUP(B4416,合并仓明细!$D$2:$F$74,3,0)</f>
        <v>93</v>
      </c>
      <c r="D4416" s="122" t="s">
        <v>393</v>
      </c>
      <c r="E4416" s="123">
        <v>46094</v>
      </c>
      <c r="F4416" s="121" t="s">
        <v>66</v>
      </c>
      <c r="G4416" s="121">
        <v>360.08000000000004</v>
      </c>
      <c r="H4416" s="124"/>
      <c r="I4416" s="125"/>
      <c r="J4416" s="125"/>
      <c r="K4416" s="125"/>
      <c r="L4416" s="121"/>
      <c r="M4416" s="126"/>
      <c r="N4416" s="121"/>
    </row>
    <row r="4417" spans="1:14" x14ac:dyDescent="0.25">
      <c r="A4417" s="121" t="s">
        <v>99</v>
      </c>
      <c r="B4417" s="121" t="s">
        <v>101</v>
      </c>
      <c r="C4417" s="62">
        <f>VLOOKUP(B4417,合并仓明细!$D$2:$F$74,3,0)</f>
        <v>93</v>
      </c>
      <c r="D4417" s="122" t="s">
        <v>393</v>
      </c>
      <c r="E4417" s="123">
        <v>46097</v>
      </c>
      <c r="F4417" s="121" t="s">
        <v>67</v>
      </c>
      <c r="G4417" s="121">
        <v>4060.92</v>
      </c>
      <c r="H4417" s="124">
        <v>4.2706</v>
      </c>
      <c r="I4417" s="38">
        <f>IF(H4417&gt;30,QUOTIENT(H4417,30)*VLOOKUP(D4417,'报价表-配送'!$B$2:$I$6,8,0),0)+IF(AND(MOD(H4417,30)&gt;18,MOD(H4417,30)&lt;=30),1,0)*VLOOKUP(D4417,'报价表-配送'!$B$2:$I$6,8,0)</f>
        <v>0</v>
      </c>
      <c r="J4417" s="38">
        <f>IF(AND(MOD(H4417,30)&gt;8,MOD(H4417,30)&lt;=18),1*VLOOKUP(D4417,'报价表-配送'!$B$2:$I$6,7,0),0)</f>
        <v>0</v>
      </c>
      <c r="K4417" s="38">
        <f>IF(AND(MOD(H4417,30)&lt;=8,MOD(H4417,30)&gt;0),1,0)*VLOOKUP(D4417,'报价表-配送'!$B$2:$I$6,6,0)</f>
        <v>0</v>
      </c>
      <c r="L4417" s="121"/>
      <c r="M4417" s="126"/>
      <c r="N4417" s="127">
        <f t="shared" ref="N4417" si="534">SUM(I4417:L4417)</f>
        <v>0</v>
      </c>
    </row>
    <row r="4418" spans="1:14" x14ac:dyDescent="0.25">
      <c r="A4418" s="121" t="s">
        <v>99</v>
      </c>
      <c r="B4418" s="121" t="s">
        <v>101</v>
      </c>
      <c r="C4418" s="62">
        <f>VLOOKUP(B4418,合并仓明细!$D$2:$F$74,3,0)</f>
        <v>93</v>
      </c>
      <c r="D4418" s="122" t="s">
        <v>393</v>
      </c>
      <c r="E4418" s="123">
        <v>46097</v>
      </c>
      <c r="F4418" s="121" t="s">
        <v>66</v>
      </c>
      <c r="G4418" s="121">
        <v>209.67999999999998</v>
      </c>
      <c r="H4418" s="124"/>
      <c r="I4418" s="125"/>
      <c r="J4418" s="125"/>
      <c r="K4418" s="125"/>
      <c r="L4418" s="121"/>
      <c r="M4418" s="126"/>
      <c r="N4418" s="121"/>
    </row>
    <row r="4419" spans="1:14" x14ac:dyDescent="0.25">
      <c r="A4419" s="121" t="s">
        <v>99</v>
      </c>
      <c r="B4419" s="121" t="s">
        <v>101</v>
      </c>
      <c r="C4419" s="62">
        <f>VLOOKUP(B4419,合并仓明细!$D$2:$F$74,3,0)</f>
        <v>93</v>
      </c>
      <c r="D4419" s="122" t="s">
        <v>393</v>
      </c>
      <c r="E4419" s="123">
        <v>46098</v>
      </c>
      <c r="F4419" s="121" t="s">
        <v>67</v>
      </c>
      <c r="G4419" s="121">
        <v>1353.64</v>
      </c>
      <c r="H4419" s="124">
        <v>1.4648500000000002</v>
      </c>
      <c r="I4419" s="38">
        <f>IF(H4419&gt;30,QUOTIENT(H4419,30)*VLOOKUP(D4419,'报价表-配送'!$B$2:$I$6,8,0),0)+IF(AND(MOD(H4419,30)&gt;18,MOD(H4419,30)&lt;=30),1,0)*VLOOKUP(D4419,'报价表-配送'!$B$2:$I$6,8,0)</f>
        <v>0</v>
      </c>
      <c r="J4419" s="38">
        <f>IF(AND(MOD(H4419,30)&gt;8,MOD(H4419,30)&lt;=18),1*VLOOKUP(D4419,'报价表-配送'!$B$2:$I$6,7,0),0)</f>
        <v>0</v>
      </c>
      <c r="K4419" s="38">
        <f>IF(AND(MOD(H4419,30)&lt;=8,MOD(H4419,30)&gt;0),1,0)*VLOOKUP(D4419,'报价表-配送'!$B$2:$I$6,6,0)</f>
        <v>0</v>
      </c>
      <c r="L4419" s="121"/>
      <c r="M4419" s="126"/>
      <c r="N4419" s="127">
        <f t="shared" ref="N4419" si="535">SUM(I4419:L4419)</f>
        <v>0</v>
      </c>
    </row>
    <row r="4420" spans="1:14" x14ac:dyDescent="0.25">
      <c r="A4420" s="121" t="s">
        <v>99</v>
      </c>
      <c r="B4420" s="121" t="s">
        <v>101</v>
      </c>
      <c r="C4420" s="62">
        <f>VLOOKUP(B4420,合并仓明细!$D$2:$F$74,3,0)</f>
        <v>93</v>
      </c>
      <c r="D4420" s="122" t="s">
        <v>393</v>
      </c>
      <c r="E4420" s="123">
        <v>46098</v>
      </c>
      <c r="F4420" s="121" t="s">
        <v>66</v>
      </c>
      <c r="G4420" s="121">
        <v>111.21</v>
      </c>
      <c r="H4420" s="124"/>
      <c r="I4420" s="125"/>
      <c r="J4420" s="125"/>
      <c r="K4420" s="125"/>
      <c r="L4420" s="121"/>
      <c r="M4420" s="126"/>
      <c r="N4420" s="121"/>
    </row>
    <row r="4421" spans="1:14" x14ac:dyDescent="0.25">
      <c r="A4421" s="121" t="s">
        <v>99</v>
      </c>
      <c r="B4421" s="121" t="s">
        <v>101</v>
      </c>
      <c r="C4421" s="62">
        <f>VLOOKUP(B4421,合并仓明细!$D$2:$F$74,3,0)</f>
        <v>93</v>
      </c>
      <c r="D4421" s="122" t="s">
        <v>393</v>
      </c>
      <c r="E4421" s="123">
        <v>46099</v>
      </c>
      <c r="F4421" s="121" t="s">
        <v>68</v>
      </c>
      <c r="G4421" s="121">
        <v>38.31</v>
      </c>
      <c r="H4421" s="124">
        <v>13.407069999999999</v>
      </c>
      <c r="I4421" s="46">
        <f>ROUNDUP(H4421/30,0)*VLOOKUP(D4421,'报价表-配送'!$B$2:$I$6,8,0)</f>
        <v>0</v>
      </c>
      <c r="J4421" s="125"/>
      <c r="K4421" s="125"/>
      <c r="L4421" s="121"/>
      <c r="M4421" s="126"/>
      <c r="N4421" s="127">
        <f t="shared" ref="N4421" si="536">SUM(I4421:L4421)</f>
        <v>0</v>
      </c>
    </row>
    <row r="4422" spans="1:14" x14ac:dyDescent="0.25">
      <c r="A4422" s="121" t="s">
        <v>99</v>
      </c>
      <c r="B4422" s="121" t="s">
        <v>101</v>
      </c>
      <c r="C4422" s="62">
        <f>VLOOKUP(B4422,合并仓明细!$D$2:$F$74,3,0)</f>
        <v>93</v>
      </c>
      <c r="D4422" s="122" t="s">
        <v>393</v>
      </c>
      <c r="E4422" s="123">
        <v>46099</v>
      </c>
      <c r="F4422" s="121" t="s">
        <v>67</v>
      </c>
      <c r="G4422" s="121">
        <v>12793.2</v>
      </c>
      <c r="H4422" s="124"/>
      <c r="I4422" s="125"/>
      <c r="J4422" s="125"/>
      <c r="K4422" s="125"/>
      <c r="L4422" s="121"/>
      <c r="M4422" s="126"/>
      <c r="N4422" s="121"/>
    </row>
    <row r="4423" spans="1:14" x14ac:dyDescent="0.25">
      <c r="A4423" s="121" t="s">
        <v>99</v>
      </c>
      <c r="B4423" s="121" t="s">
        <v>101</v>
      </c>
      <c r="C4423" s="62">
        <f>VLOOKUP(B4423,合并仓明细!$D$2:$F$74,3,0)</f>
        <v>93</v>
      </c>
      <c r="D4423" s="122" t="s">
        <v>393</v>
      </c>
      <c r="E4423" s="123">
        <v>46099</v>
      </c>
      <c r="F4423" s="121" t="s">
        <v>66</v>
      </c>
      <c r="G4423" s="121">
        <v>575.55999999999983</v>
      </c>
      <c r="H4423" s="124"/>
      <c r="I4423" s="125"/>
      <c r="J4423" s="125"/>
      <c r="K4423" s="125"/>
      <c r="L4423" s="121"/>
      <c r="M4423" s="126"/>
      <c r="N4423" s="121"/>
    </row>
    <row r="4424" spans="1:14" x14ac:dyDescent="0.25">
      <c r="A4424" s="121" t="s">
        <v>99</v>
      </c>
      <c r="B4424" s="121" t="s">
        <v>179</v>
      </c>
      <c r="C4424" s="62">
        <f>VLOOKUP(B4424,合并仓明细!$D$2:$F$74,3,0)</f>
        <v>189</v>
      </c>
      <c r="D4424" s="122" t="s">
        <v>413</v>
      </c>
      <c r="E4424" s="123">
        <v>45943</v>
      </c>
      <c r="F4424" s="121" t="s">
        <v>66</v>
      </c>
      <c r="G4424" s="121">
        <v>0.1</v>
      </c>
      <c r="H4424" s="124">
        <v>1E-4</v>
      </c>
      <c r="I4424" s="125"/>
      <c r="J4424" s="125"/>
      <c r="K4424" s="125"/>
      <c r="L4424" s="37">
        <f>IF(H4424&gt;30,QUOTIENT(H4424,30)*VLOOKUP(D4424,'报价表-配送'!$B$2:$I$6,8,0),0)+IF(AND(MOD(H4424,30)&gt;18,MOD(H4424,30)&lt;=30),1,0)*VLOOKUP(D4424,'报价表-配送'!$B$2:$I$6,8,0)+IF(AND(MOD(H4424,30)&gt;8,MOD(H4424,30)&lt;=18),1*VLOOKUP(D4424,'报价表-配送'!$B$2:$I$6,7,0),0)+IF(AND(MOD(H4424,30)&lt;=8,MOD(H4424,30)&gt;2.5),1,0)*VLOOKUP(D4424,'报价表-配送'!$B$2:$I$6,6,0)+IF(AND(MOD(H4424,30)&lt;=2.5,MOD(H4424,30)&gt;=1.5),1,0)*VLOOKUP(D4424,'报价表-配送'!$B$2:$I$6,5,0)</f>
        <v>0</v>
      </c>
      <c r="M4424" s="39">
        <f>IF(AND(MOD(H4424,30)&lt;1.5,MOD(H4424,30)&gt;=0.5),H4424,0)*VLOOKUP(D4424,'报价表-配送'!$B$2:$I$6,4,0)*1000+IF(AND(MOD(H4424,30)&lt;0.5,MOD(H4424,30)&gt;=0.02),H4424,0)*VLOOKUP(D4424,'报价表-配送'!$B$2:$I$6,3,0)*1000+IF(AND(MOD(H4424,30)&lt;0.02),H4424,0)*VLOOKUP(D4424,'报价表-配送'!$B$2:$I$6,2,0)*1000</f>
        <v>0</v>
      </c>
      <c r="N4424" s="127">
        <f t="shared" ref="N4424:N4445" si="537">SUM(I4424:L4424)</f>
        <v>0</v>
      </c>
    </row>
    <row r="4425" spans="1:14" x14ac:dyDescent="0.25">
      <c r="A4425" s="121" t="s">
        <v>99</v>
      </c>
      <c r="B4425" s="121" t="s">
        <v>179</v>
      </c>
      <c r="C4425" s="62">
        <f>VLOOKUP(B4425,合并仓明细!$D$2:$F$74,3,0)</f>
        <v>189</v>
      </c>
      <c r="D4425" s="122" t="s">
        <v>413</v>
      </c>
      <c r="E4425" s="123">
        <v>45946</v>
      </c>
      <c r="F4425" s="121" t="s">
        <v>66</v>
      </c>
      <c r="G4425" s="121">
        <v>344.25</v>
      </c>
      <c r="H4425" s="124">
        <v>0.34425</v>
      </c>
      <c r="I4425" s="125"/>
      <c r="J4425" s="125"/>
      <c r="K4425" s="125"/>
      <c r="L4425" s="37">
        <f>IF(H4425&gt;30,QUOTIENT(H4425,30)*VLOOKUP(D4425,'报价表-配送'!$B$2:$I$6,8,0),0)+IF(AND(MOD(H4425,30)&gt;18,MOD(H4425,30)&lt;=30),1,0)*VLOOKUP(D4425,'报价表-配送'!$B$2:$I$6,8,0)+IF(AND(MOD(H4425,30)&gt;8,MOD(H4425,30)&lt;=18),1*VLOOKUP(D4425,'报价表-配送'!$B$2:$I$6,7,0),0)+IF(AND(MOD(H4425,30)&lt;=8,MOD(H4425,30)&gt;2.5),1,0)*VLOOKUP(D4425,'报价表-配送'!$B$2:$I$6,6,0)+IF(AND(MOD(H4425,30)&lt;=2.5,MOD(H4425,30)&gt;=1.5),1,0)*VLOOKUP(D4425,'报价表-配送'!$B$2:$I$6,5,0)</f>
        <v>0</v>
      </c>
      <c r="M4425" s="39">
        <f>IF(AND(MOD(H4425,30)&lt;1.5,MOD(H4425,30)&gt;=0.5),H4425,0)*VLOOKUP(D4425,'报价表-配送'!$B$2:$I$6,4,0)*1000+IF(AND(MOD(H4425,30)&lt;0.5,MOD(H4425,30)&gt;=0.02),H4425,0)*VLOOKUP(D4425,'报价表-配送'!$B$2:$I$6,3,0)*1000+IF(AND(MOD(H4425,30)&lt;0.02),H4425,0)*VLOOKUP(D4425,'报价表-配送'!$B$2:$I$6,2,0)*1000</f>
        <v>0</v>
      </c>
      <c r="N4425" s="127">
        <f t="shared" si="537"/>
        <v>0</v>
      </c>
    </row>
    <row r="4426" spans="1:14" x14ac:dyDescent="0.25">
      <c r="A4426" s="121" t="s">
        <v>99</v>
      </c>
      <c r="B4426" s="121" t="s">
        <v>179</v>
      </c>
      <c r="C4426" s="62">
        <f>VLOOKUP(B4426,合并仓明细!$D$2:$F$74,3,0)</f>
        <v>189</v>
      </c>
      <c r="D4426" s="122" t="s">
        <v>413</v>
      </c>
      <c r="E4426" s="123">
        <v>45951</v>
      </c>
      <c r="F4426" s="121" t="s">
        <v>66</v>
      </c>
      <c r="G4426" s="121">
        <v>62.709999999999994</v>
      </c>
      <c r="H4426" s="124">
        <v>6.2709999999999988E-2</v>
      </c>
      <c r="I4426" s="125"/>
      <c r="J4426" s="125"/>
      <c r="K4426" s="125"/>
      <c r="L4426" s="37">
        <f>IF(H4426&gt;30,QUOTIENT(H4426,30)*VLOOKUP(D4426,'报价表-配送'!$B$2:$I$6,8,0),0)+IF(AND(MOD(H4426,30)&gt;18,MOD(H4426,30)&lt;=30),1,0)*VLOOKUP(D4426,'报价表-配送'!$B$2:$I$6,8,0)+IF(AND(MOD(H4426,30)&gt;8,MOD(H4426,30)&lt;=18),1*VLOOKUP(D4426,'报价表-配送'!$B$2:$I$6,7,0),0)+IF(AND(MOD(H4426,30)&lt;=8,MOD(H4426,30)&gt;2.5),1,0)*VLOOKUP(D4426,'报价表-配送'!$B$2:$I$6,6,0)+IF(AND(MOD(H4426,30)&lt;=2.5,MOD(H4426,30)&gt;=1.5),1,0)*VLOOKUP(D4426,'报价表-配送'!$B$2:$I$6,5,0)</f>
        <v>0</v>
      </c>
      <c r="M4426" s="39">
        <f>IF(AND(MOD(H4426,30)&lt;1.5,MOD(H4426,30)&gt;=0.5),H4426,0)*VLOOKUP(D4426,'报价表-配送'!$B$2:$I$6,4,0)*1000+IF(AND(MOD(H4426,30)&lt;0.5,MOD(H4426,30)&gt;=0.02),H4426,0)*VLOOKUP(D4426,'报价表-配送'!$B$2:$I$6,3,0)*1000+IF(AND(MOD(H4426,30)&lt;0.02),H4426,0)*VLOOKUP(D4426,'报价表-配送'!$B$2:$I$6,2,0)*1000</f>
        <v>0</v>
      </c>
      <c r="N4426" s="127">
        <f t="shared" si="537"/>
        <v>0</v>
      </c>
    </row>
    <row r="4427" spans="1:14" x14ac:dyDescent="0.25">
      <c r="A4427" s="121" t="s">
        <v>99</v>
      </c>
      <c r="B4427" s="121" t="s">
        <v>179</v>
      </c>
      <c r="C4427" s="62">
        <f>VLOOKUP(B4427,合并仓明细!$D$2:$F$74,3,0)</f>
        <v>189</v>
      </c>
      <c r="D4427" s="122" t="s">
        <v>413</v>
      </c>
      <c r="E4427" s="123">
        <v>45958</v>
      </c>
      <c r="F4427" s="121" t="s">
        <v>66</v>
      </c>
      <c r="G4427" s="121">
        <v>1136.4000000000001</v>
      </c>
      <c r="H4427" s="124">
        <v>1.1364000000000001</v>
      </c>
      <c r="I4427" s="125"/>
      <c r="J4427" s="125"/>
      <c r="K4427" s="125"/>
      <c r="L4427" s="37">
        <f>IF(H4427&gt;30,QUOTIENT(H4427,30)*VLOOKUP(D4427,'报价表-配送'!$B$2:$I$6,8,0),0)+IF(AND(MOD(H4427,30)&gt;18,MOD(H4427,30)&lt;=30),1,0)*VLOOKUP(D4427,'报价表-配送'!$B$2:$I$6,8,0)+IF(AND(MOD(H4427,30)&gt;8,MOD(H4427,30)&lt;=18),1*VLOOKUP(D4427,'报价表-配送'!$B$2:$I$6,7,0),0)+IF(AND(MOD(H4427,30)&lt;=8,MOD(H4427,30)&gt;2.5),1,0)*VLOOKUP(D4427,'报价表-配送'!$B$2:$I$6,6,0)+IF(AND(MOD(H4427,30)&lt;=2.5,MOD(H4427,30)&gt;=1.5),1,0)*VLOOKUP(D4427,'报价表-配送'!$B$2:$I$6,5,0)</f>
        <v>0</v>
      </c>
      <c r="M4427" s="39">
        <f>IF(AND(MOD(H4427,30)&lt;1.5,MOD(H4427,30)&gt;=0.5),H4427,0)*VLOOKUP(D4427,'报价表-配送'!$B$2:$I$6,4,0)*1000+IF(AND(MOD(H4427,30)&lt;0.5,MOD(H4427,30)&gt;=0.02),H4427,0)*VLOOKUP(D4427,'报价表-配送'!$B$2:$I$6,3,0)*1000+IF(AND(MOD(H4427,30)&lt;0.02),H4427,0)*VLOOKUP(D4427,'报价表-配送'!$B$2:$I$6,2,0)*1000</f>
        <v>0</v>
      </c>
      <c r="N4427" s="127">
        <f t="shared" si="537"/>
        <v>0</v>
      </c>
    </row>
    <row r="4428" spans="1:14" x14ac:dyDescent="0.25">
      <c r="A4428" s="121" t="s">
        <v>99</v>
      </c>
      <c r="B4428" s="121" t="s">
        <v>179</v>
      </c>
      <c r="C4428" s="62">
        <f>VLOOKUP(B4428,合并仓明细!$D$2:$F$74,3,0)</f>
        <v>189</v>
      </c>
      <c r="D4428" s="122" t="s">
        <v>413</v>
      </c>
      <c r="E4428" s="123">
        <v>45961</v>
      </c>
      <c r="F4428" s="121" t="s">
        <v>66</v>
      </c>
      <c r="G4428" s="121">
        <v>28.17</v>
      </c>
      <c r="H4428" s="124">
        <v>2.8170000000000001E-2</v>
      </c>
      <c r="I4428" s="125"/>
      <c r="J4428" s="125"/>
      <c r="K4428" s="125"/>
      <c r="L4428" s="37">
        <f>IF(H4428&gt;30,QUOTIENT(H4428,30)*VLOOKUP(D4428,'报价表-配送'!$B$2:$I$6,8,0),0)+IF(AND(MOD(H4428,30)&gt;18,MOD(H4428,30)&lt;=30),1,0)*VLOOKUP(D4428,'报价表-配送'!$B$2:$I$6,8,0)+IF(AND(MOD(H4428,30)&gt;8,MOD(H4428,30)&lt;=18),1*VLOOKUP(D4428,'报价表-配送'!$B$2:$I$6,7,0),0)+IF(AND(MOD(H4428,30)&lt;=8,MOD(H4428,30)&gt;2.5),1,0)*VLOOKUP(D4428,'报价表-配送'!$B$2:$I$6,6,0)+IF(AND(MOD(H4428,30)&lt;=2.5,MOD(H4428,30)&gt;=1.5),1,0)*VLOOKUP(D4428,'报价表-配送'!$B$2:$I$6,5,0)</f>
        <v>0</v>
      </c>
      <c r="M4428" s="39">
        <f>IF(AND(MOD(H4428,30)&lt;1.5,MOD(H4428,30)&gt;=0.5),H4428,0)*VLOOKUP(D4428,'报价表-配送'!$B$2:$I$6,4,0)*1000+IF(AND(MOD(H4428,30)&lt;0.5,MOD(H4428,30)&gt;=0.02),H4428,0)*VLOOKUP(D4428,'报价表-配送'!$B$2:$I$6,3,0)*1000+IF(AND(MOD(H4428,30)&lt;0.02),H4428,0)*VLOOKUP(D4428,'报价表-配送'!$B$2:$I$6,2,0)*1000</f>
        <v>0</v>
      </c>
      <c r="N4428" s="127">
        <f t="shared" si="537"/>
        <v>0</v>
      </c>
    </row>
    <row r="4429" spans="1:14" x14ac:dyDescent="0.25">
      <c r="A4429" s="121" t="s">
        <v>99</v>
      </c>
      <c r="B4429" s="121" t="s">
        <v>179</v>
      </c>
      <c r="C4429" s="62">
        <f>VLOOKUP(B4429,合并仓明细!$D$2:$F$74,3,0)</f>
        <v>189</v>
      </c>
      <c r="D4429" s="122" t="s">
        <v>413</v>
      </c>
      <c r="E4429" s="123">
        <v>45965</v>
      </c>
      <c r="F4429" s="121" t="s">
        <v>66</v>
      </c>
      <c r="G4429" s="121">
        <v>16.23</v>
      </c>
      <c r="H4429" s="124">
        <v>1.6230000000000001E-2</v>
      </c>
      <c r="I4429" s="125"/>
      <c r="J4429" s="125"/>
      <c r="K4429" s="125"/>
      <c r="L4429" s="37">
        <f>IF(H4429&gt;30,QUOTIENT(H4429,30)*VLOOKUP(D4429,'报价表-配送'!$B$2:$I$6,8,0),0)+IF(AND(MOD(H4429,30)&gt;18,MOD(H4429,30)&lt;=30),1,0)*VLOOKUP(D4429,'报价表-配送'!$B$2:$I$6,8,0)+IF(AND(MOD(H4429,30)&gt;8,MOD(H4429,30)&lt;=18),1*VLOOKUP(D4429,'报价表-配送'!$B$2:$I$6,7,0),0)+IF(AND(MOD(H4429,30)&lt;=8,MOD(H4429,30)&gt;2.5),1,0)*VLOOKUP(D4429,'报价表-配送'!$B$2:$I$6,6,0)+IF(AND(MOD(H4429,30)&lt;=2.5,MOD(H4429,30)&gt;=1.5),1,0)*VLOOKUP(D4429,'报价表-配送'!$B$2:$I$6,5,0)</f>
        <v>0</v>
      </c>
      <c r="M4429" s="39">
        <f>IF(AND(MOD(H4429,30)&lt;1.5,MOD(H4429,30)&gt;=0.5),H4429,0)*VLOOKUP(D4429,'报价表-配送'!$B$2:$I$6,4,0)*1000+IF(AND(MOD(H4429,30)&lt;0.5,MOD(H4429,30)&gt;=0.02),H4429,0)*VLOOKUP(D4429,'报价表-配送'!$B$2:$I$6,3,0)*1000+IF(AND(MOD(H4429,30)&lt;0.02),H4429,0)*VLOOKUP(D4429,'报价表-配送'!$B$2:$I$6,2,0)*1000</f>
        <v>0</v>
      </c>
      <c r="N4429" s="127">
        <f t="shared" si="537"/>
        <v>0</v>
      </c>
    </row>
    <row r="4430" spans="1:14" x14ac:dyDescent="0.25">
      <c r="A4430" s="121" t="s">
        <v>99</v>
      </c>
      <c r="B4430" s="121" t="s">
        <v>179</v>
      </c>
      <c r="C4430" s="62">
        <f>VLOOKUP(B4430,合并仓明细!$D$2:$F$74,3,0)</f>
        <v>189</v>
      </c>
      <c r="D4430" s="122" t="s">
        <v>413</v>
      </c>
      <c r="E4430" s="123">
        <v>45974</v>
      </c>
      <c r="F4430" s="121" t="s">
        <v>66</v>
      </c>
      <c r="G4430" s="121">
        <v>336.47</v>
      </c>
      <c r="H4430" s="124">
        <v>0.33647000000000005</v>
      </c>
      <c r="I4430" s="125"/>
      <c r="J4430" s="125"/>
      <c r="K4430" s="125"/>
      <c r="L4430" s="37">
        <f>IF(H4430&gt;30,QUOTIENT(H4430,30)*VLOOKUP(D4430,'报价表-配送'!$B$2:$I$6,8,0),0)+IF(AND(MOD(H4430,30)&gt;18,MOD(H4430,30)&lt;=30),1,0)*VLOOKUP(D4430,'报价表-配送'!$B$2:$I$6,8,0)+IF(AND(MOD(H4430,30)&gt;8,MOD(H4430,30)&lt;=18),1*VLOOKUP(D4430,'报价表-配送'!$B$2:$I$6,7,0),0)+IF(AND(MOD(H4430,30)&lt;=8,MOD(H4430,30)&gt;2.5),1,0)*VLOOKUP(D4430,'报价表-配送'!$B$2:$I$6,6,0)+IF(AND(MOD(H4430,30)&lt;=2.5,MOD(H4430,30)&gt;=1.5),1,0)*VLOOKUP(D4430,'报价表-配送'!$B$2:$I$6,5,0)</f>
        <v>0</v>
      </c>
      <c r="M4430" s="39">
        <f>IF(AND(MOD(H4430,30)&lt;1.5,MOD(H4430,30)&gt;=0.5),H4430,0)*VLOOKUP(D4430,'报价表-配送'!$B$2:$I$6,4,0)*1000+IF(AND(MOD(H4430,30)&lt;0.5,MOD(H4430,30)&gt;=0.02),H4430,0)*VLOOKUP(D4430,'报价表-配送'!$B$2:$I$6,3,0)*1000+IF(AND(MOD(H4430,30)&lt;0.02),H4430,0)*VLOOKUP(D4430,'报价表-配送'!$B$2:$I$6,2,0)*1000</f>
        <v>0</v>
      </c>
      <c r="N4430" s="127">
        <f t="shared" si="537"/>
        <v>0</v>
      </c>
    </row>
    <row r="4431" spans="1:14" x14ac:dyDescent="0.25">
      <c r="A4431" s="121" t="s">
        <v>99</v>
      </c>
      <c r="B4431" s="121" t="s">
        <v>179</v>
      </c>
      <c r="C4431" s="62">
        <f>VLOOKUP(B4431,合并仓明细!$D$2:$F$74,3,0)</f>
        <v>189</v>
      </c>
      <c r="D4431" s="122" t="s">
        <v>413</v>
      </c>
      <c r="E4431" s="123">
        <v>45986</v>
      </c>
      <c r="F4431" s="121" t="s">
        <v>66</v>
      </c>
      <c r="G4431" s="121">
        <v>16.89</v>
      </c>
      <c r="H4431" s="124">
        <v>1.6890000000000002E-2</v>
      </c>
      <c r="I4431" s="125"/>
      <c r="J4431" s="125"/>
      <c r="K4431" s="125"/>
      <c r="L4431" s="37">
        <f>IF(H4431&gt;30,QUOTIENT(H4431,30)*VLOOKUP(D4431,'报价表-配送'!$B$2:$I$6,8,0),0)+IF(AND(MOD(H4431,30)&gt;18,MOD(H4431,30)&lt;=30),1,0)*VLOOKUP(D4431,'报价表-配送'!$B$2:$I$6,8,0)+IF(AND(MOD(H4431,30)&gt;8,MOD(H4431,30)&lt;=18),1*VLOOKUP(D4431,'报价表-配送'!$B$2:$I$6,7,0),0)+IF(AND(MOD(H4431,30)&lt;=8,MOD(H4431,30)&gt;2.5),1,0)*VLOOKUP(D4431,'报价表-配送'!$B$2:$I$6,6,0)+IF(AND(MOD(H4431,30)&lt;=2.5,MOD(H4431,30)&gt;=1.5),1,0)*VLOOKUP(D4431,'报价表-配送'!$B$2:$I$6,5,0)</f>
        <v>0</v>
      </c>
      <c r="M4431" s="39">
        <f>IF(AND(MOD(H4431,30)&lt;1.5,MOD(H4431,30)&gt;=0.5),H4431,0)*VLOOKUP(D4431,'报价表-配送'!$B$2:$I$6,4,0)*1000+IF(AND(MOD(H4431,30)&lt;0.5,MOD(H4431,30)&gt;=0.02),H4431,0)*VLOOKUP(D4431,'报价表-配送'!$B$2:$I$6,3,0)*1000+IF(AND(MOD(H4431,30)&lt;0.02),H4431,0)*VLOOKUP(D4431,'报价表-配送'!$B$2:$I$6,2,0)*1000</f>
        <v>0</v>
      </c>
      <c r="N4431" s="127">
        <f t="shared" si="537"/>
        <v>0</v>
      </c>
    </row>
    <row r="4432" spans="1:14" x14ac:dyDescent="0.25">
      <c r="A4432" s="121" t="s">
        <v>99</v>
      </c>
      <c r="B4432" s="121" t="s">
        <v>179</v>
      </c>
      <c r="C4432" s="62">
        <f>VLOOKUP(B4432,合并仓明细!$D$2:$F$74,3,0)</f>
        <v>189</v>
      </c>
      <c r="D4432" s="122" t="s">
        <v>413</v>
      </c>
      <c r="E4432" s="123">
        <v>45992</v>
      </c>
      <c r="F4432" s="121" t="s">
        <v>66</v>
      </c>
      <c r="G4432" s="121">
        <v>15.14</v>
      </c>
      <c r="H4432" s="124">
        <v>1.5140000000000001E-2</v>
      </c>
      <c r="I4432" s="125"/>
      <c r="J4432" s="125"/>
      <c r="K4432" s="125"/>
      <c r="L4432" s="37">
        <f>IF(H4432&gt;30,QUOTIENT(H4432,30)*VLOOKUP(D4432,'报价表-配送'!$B$2:$I$6,8,0),0)+IF(AND(MOD(H4432,30)&gt;18,MOD(H4432,30)&lt;=30),1,0)*VLOOKUP(D4432,'报价表-配送'!$B$2:$I$6,8,0)+IF(AND(MOD(H4432,30)&gt;8,MOD(H4432,30)&lt;=18),1*VLOOKUP(D4432,'报价表-配送'!$B$2:$I$6,7,0),0)+IF(AND(MOD(H4432,30)&lt;=8,MOD(H4432,30)&gt;2.5),1,0)*VLOOKUP(D4432,'报价表-配送'!$B$2:$I$6,6,0)+IF(AND(MOD(H4432,30)&lt;=2.5,MOD(H4432,30)&gt;=1.5),1,0)*VLOOKUP(D4432,'报价表-配送'!$B$2:$I$6,5,0)</f>
        <v>0</v>
      </c>
      <c r="M4432" s="39">
        <f>IF(AND(MOD(H4432,30)&lt;1.5,MOD(H4432,30)&gt;=0.5),H4432,0)*VLOOKUP(D4432,'报价表-配送'!$B$2:$I$6,4,0)*1000+IF(AND(MOD(H4432,30)&lt;0.5,MOD(H4432,30)&gt;=0.02),H4432,0)*VLOOKUP(D4432,'报价表-配送'!$B$2:$I$6,3,0)*1000+IF(AND(MOD(H4432,30)&lt;0.02),H4432,0)*VLOOKUP(D4432,'报价表-配送'!$B$2:$I$6,2,0)*1000</f>
        <v>0</v>
      </c>
      <c r="N4432" s="127">
        <f t="shared" si="537"/>
        <v>0</v>
      </c>
    </row>
    <row r="4433" spans="1:14" x14ac:dyDescent="0.25">
      <c r="A4433" s="121" t="s">
        <v>99</v>
      </c>
      <c r="B4433" s="121" t="s">
        <v>179</v>
      </c>
      <c r="C4433" s="62">
        <f>VLOOKUP(B4433,合并仓明细!$D$2:$F$74,3,0)</f>
        <v>189</v>
      </c>
      <c r="D4433" s="122" t="s">
        <v>413</v>
      </c>
      <c r="E4433" s="123">
        <v>45996</v>
      </c>
      <c r="F4433" s="121" t="s">
        <v>66</v>
      </c>
      <c r="G4433" s="121">
        <v>1029.08</v>
      </c>
      <c r="H4433" s="124">
        <v>1.02908</v>
      </c>
      <c r="I4433" s="125"/>
      <c r="J4433" s="125"/>
      <c r="K4433" s="125"/>
      <c r="L4433" s="37">
        <f>IF(H4433&gt;30,QUOTIENT(H4433,30)*VLOOKUP(D4433,'报价表-配送'!$B$2:$I$6,8,0),0)+IF(AND(MOD(H4433,30)&gt;18,MOD(H4433,30)&lt;=30),1,0)*VLOOKUP(D4433,'报价表-配送'!$B$2:$I$6,8,0)+IF(AND(MOD(H4433,30)&gt;8,MOD(H4433,30)&lt;=18),1*VLOOKUP(D4433,'报价表-配送'!$B$2:$I$6,7,0),0)+IF(AND(MOD(H4433,30)&lt;=8,MOD(H4433,30)&gt;2.5),1,0)*VLOOKUP(D4433,'报价表-配送'!$B$2:$I$6,6,0)+IF(AND(MOD(H4433,30)&lt;=2.5,MOD(H4433,30)&gt;=1.5),1,0)*VLOOKUP(D4433,'报价表-配送'!$B$2:$I$6,5,0)</f>
        <v>0</v>
      </c>
      <c r="M4433" s="39">
        <f>IF(AND(MOD(H4433,30)&lt;1.5,MOD(H4433,30)&gt;=0.5),H4433,0)*VLOOKUP(D4433,'报价表-配送'!$B$2:$I$6,4,0)*1000+IF(AND(MOD(H4433,30)&lt;0.5,MOD(H4433,30)&gt;=0.02),H4433,0)*VLOOKUP(D4433,'报价表-配送'!$B$2:$I$6,3,0)*1000+IF(AND(MOD(H4433,30)&lt;0.02),H4433,0)*VLOOKUP(D4433,'报价表-配送'!$B$2:$I$6,2,0)*1000</f>
        <v>0</v>
      </c>
      <c r="N4433" s="127">
        <f t="shared" si="537"/>
        <v>0</v>
      </c>
    </row>
    <row r="4434" spans="1:14" x14ac:dyDescent="0.25">
      <c r="A4434" s="121" t="s">
        <v>99</v>
      </c>
      <c r="B4434" s="121" t="s">
        <v>179</v>
      </c>
      <c r="C4434" s="62">
        <f>VLOOKUP(B4434,合并仓明细!$D$2:$F$74,3,0)</f>
        <v>189</v>
      </c>
      <c r="D4434" s="122" t="s">
        <v>413</v>
      </c>
      <c r="E4434" s="123">
        <v>45999</v>
      </c>
      <c r="F4434" s="121" t="s">
        <v>66</v>
      </c>
      <c r="G4434" s="121">
        <v>67.77</v>
      </c>
      <c r="H4434" s="124">
        <v>6.7769999999999997E-2</v>
      </c>
      <c r="I4434" s="125"/>
      <c r="J4434" s="125"/>
      <c r="K4434" s="125"/>
      <c r="L4434" s="37">
        <f>IF(H4434&gt;30,QUOTIENT(H4434,30)*VLOOKUP(D4434,'报价表-配送'!$B$2:$I$6,8,0),0)+IF(AND(MOD(H4434,30)&gt;18,MOD(H4434,30)&lt;=30),1,0)*VLOOKUP(D4434,'报价表-配送'!$B$2:$I$6,8,0)+IF(AND(MOD(H4434,30)&gt;8,MOD(H4434,30)&lt;=18),1*VLOOKUP(D4434,'报价表-配送'!$B$2:$I$6,7,0),0)+IF(AND(MOD(H4434,30)&lt;=8,MOD(H4434,30)&gt;2.5),1,0)*VLOOKUP(D4434,'报价表-配送'!$B$2:$I$6,6,0)+IF(AND(MOD(H4434,30)&lt;=2.5,MOD(H4434,30)&gt;=1.5),1,0)*VLOOKUP(D4434,'报价表-配送'!$B$2:$I$6,5,0)</f>
        <v>0</v>
      </c>
      <c r="M4434" s="39">
        <f>IF(AND(MOD(H4434,30)&lt;1.5,MOD(H4434,30)&gt;=0.5),H4434,0)*VLOOKUP(D4434,'报价表-配送'!$B$2:$I$6,4,0)*1000+IF(AND(MOD(H4434,30)&lt;0.5,MOD(H4434,30)&gt;=0.02),H4434,0)*VLOOKUP(D4434,'报价表-配送'!$B$2:$I$6,3,0)*1000+IF(AND(MOD(H4434,30)&lt;0.02),H4434,0)*VLOOKUP(D4434,'报价表-配送'!$B$2:$I$6,2,0)*1000</f>
        <v>0</v>
      </c>
      <c r="N4434" s="127">
        <f t="shared" si="537"/>
        <v>0</v>
      </c>
    </row>
    <row r="4435" spans="1:14" x14ac:dyDescent="0.25">
      <c r="A4435" s="121" t="s">
        <v>99</v>
      </c>
      <c r="B4435" s="121" t="s">
        <v>179</v>
      </c>
      <c r="C4435" s="62">
        <f>VLOOKUP(B4435,合并仓明细!$D$2:$F$74,3,0)</f>
        <v>189</v>
      </c>
      <c r="D4435" s="122" t="s">
        <v>413</v>
      </c>
      <c r="E4435" s="123">
        <v>46017</v>
      </c>
      <c r="F4435" s="121" t="s">
        <v>66</v>
      </c>
      <c r="G4435" s="121">
        <v>96</v>
      </c>
      <c r="H4435" s="124">
        <v>9.6000000000000002E-2</v>
      </c>
      <c r="I4435" s="125"/>
      <c r="J4435" s="125"/>
      <c r="K4435" s="125"/>
      <c r="L4435" s="37">
        <f>IF(H4435&gt;30,QUOTIENT(H4435,30)*VLOOKUP(D4435,'报价表-配送'!$B$2:$I$6,8,0),0)+IF(AND(MOD(H4435,30)&gt;18,MOD(H4435,30)&lt;=30),1,0)*VLOOKUP(D4435,'报价表-配送'!$B$2:$I$6,8,0)+IF(AND(MOD(H4435,30)&gt;8,MOD(H4435,30)&lt;=18),1*VLOOKUP(D4435,'报价表-配送'!$B$2:$I$6,7,0),0)+IF(AND(MOD(H4435,30)&lt;=8,MOD(H4435,30)&gt;2.5),1,0)*VLOOKUP(D4435,'报价表-配送'!$B$2:$I$6,6,0)+IF(AND(MOD(H4435,30)&lt;=2.5,MOD(H4435,30)&gt;=1.5),1,0)*VLOOKUP(D4435,'报价表-配送'!$B$2:$I$6,5,0)</f>
        <v>0</v>
      </c>
      <c r="M4435" s="39">
        <f>IF(AND(MOD(H4435,30)&lt;1.5,MOD(H4435,30)&gt;=0.5),H4435,0)*VLOOKUP(D4435,'报价表-配送'!$B$2:$I$6,4,0)*1000+IF(AND(MOD(H4435,30)&lt;0.5,MOD(H4435,30)&gt;=0.02),H4435,0)*VLOOKUP(D4435,'报价表-配送'!$B$2:$I$6,3,0)*1000+IF(AND(MOD(H4435,30)&lt;0.02),H4435,0)*VLOOKUP(D4435,'报价表-配送'!$B$2:$I$6,2,0)*1000</f>
        <v>0</v>
      </c>
      <c r="N4435" s="127">
        <f t="shared" si="537"/>
        <v>0</v>
      </c>
    </row>
    <row r="4436" spans="1:14" x14ac:dyDescent="0.25">
      <c r="A4436" s="121" t="s">
        <v>99</v>
      </c>
      <c r="B4436" s="121" t="s">
        <v>179</v>
      </c>
      <c r="C4436" s="62">
        <f>VLOOKUP(B4436,合并仓明细!$D$2:$F$74,3,0)</f>
        <v>189</v>
      </c>
      <c r="D4436" s="122" t="s">
        <v>413</v>
      </c>
      <c r="E4436" s="123">
        <v>46020</v>
      </c>
      <c r="F4436" s="121" t="s">
        <v>66</v>
      </c>
      <c r="G4436" s="121">
        <v>21.38</v>
      </c>
      <c r="H4436" s="124">
        <v>2.138E-2</v>
      </c>
      <c r="I4436" s="125"/>
      <c r="J4436" s="125"/>
      <c r="K4436" s="125"/>
      <c r="L4436" s="37">
        <f>IF(H4436&gt;30,QUOTIENT(H4436,30)*VLOOKUP(D4436,'报价表-配送'!$B$2:$I$6,8,0),0)+IF(AND(MOD(H4436,30)&gt;18,MOD(H4436,30)&lt;=30),1,0)*VLOOKUP(D4436,'报价表-配送'!$B$2:$I$6,8,0)+IF(AND(MOD(H4436,30)&gt;8,MOD(H4436,30)&lt;=18),1*VLOOKUP(D4436,'报价表-配送'!$B$2:$I$6,7,0),0)+IF(AND(MOD(H4436,30)&lt;=8,MOD(H4436,30)&gt;2.5),1,0)*VLOOKUP(D4436,'报价表-配送'!$B$2:$I$6,6,0)+IF(AND(MOD(H4436,30)&lt;=2.5,MOD(H4436,30)&gt;=1.5),1,0)*VLOOKUP(D4436,'报价表-配送'!$B$2:$I$6,5,0)</f>
        <v>0</v>
      </c>
      <c r="M4436" s="39">
        <f>IF(AND(MOD(H4436,30)&lt;1.5,MOD(H4436,30)&gt;=0.5),H4436,0)*VLOOKUP(D4436,'报价表-配送'!$B$2:$I$6,4,0)*1000+IF(AND(MOD(H4436,30)&lt;0.5,MOD(H4436,30)&gt;=0.02),H4436,0)*VLOOKUP(D4436,'报价表-配送'!$B$2:$I$6,3,0)*1000+IF(AND(MOD(H4436,30)&lt;0.02),H4436,0)*VLOOKUP(D4436,'报价表-配送'!$B$2:$I$6,2,0)*1000</f>
        <v>0</v>
      </c>
      <c r="N4436" s="127">
        <f t="shared" si="537"/>
        <v>0</v>
      </c>
    </row>
    <row r="4437" spans="1:14" x14ac:dyDescent="0.25">
      <c r="A4437" s="121" t="s">
        <v>99</v>
      </c>
      <c r="B4437" s="121" t="s">
        <v>179</v>
      </c>
      <c r="C4437" s="62">
        <f>VLOOKUP(B4437,合并仓明细!$D$2:$F$74,3,0)</f>
        <v>189</v>
      </c>
      <c r="D4437" s="122" t="s">
        <v>413</v>
      </c>
      <c r="E4437" s="123">
        <v>46027</v>
      </c>
      <c r="F4437" s="121" t="s">
        <v>66</v>
      </c>
      <c r="G4437" s="121">
        <v>115.07</v>
      </c>
      <c r="H4437" s="124">
        <v>0.11506999999999999</v>
      </c>
      <c r="I4437" s="125"/>
      <c r="J4437" s="125"/>
      <c r="K4437" s="125"/>
      <c r="L4437" s="37">
        <f>IF(H4437&gt;30,QUOTIENT(H4437,30)*VLOOKUP(D4437,'报价表-配送'!$B$2:$I$6,8,0),0)+IF(AND(MOD(H4437,30)&gt;18,MOD(H4437,30)&lt;=30),1,0)*VLOOKUP(D4437,'报价表-配送'!$B$2:$I$6,8,0)+IF(AND(MOD(H4437,30)&gt;8,MOD(H4437,30)&lt;=18),1*VLOOKUP(D4437,'报价表-配送'!$B$2:$I$6,7,0),0)+IF(AND(MOD(H4437,30)&lt;=8,MOD(H4437,30)&gt;2.5),1,0)*VLOOKUP(D4437,'报价表-配送'!$B$2:$I$6,6,0)+IF(AND(MOD(H4437,30)&lt;=2.5,MOD(H4437,30)&gt;=1.5),1,0)*VLOOKUP(D4437,'报价表-配送'!$B$2:$I$6,5,0)</f>
        <v>0</v>
      </c>
      <c r="M4437" s="39">
        <f>IF(AND(MOD(H4437,30)&lt;1.5,MOD(H4437,30)&gt;=0.5),H4437,0)*VLOOKUP(D4437,'报价表-配送'!$B$2:$I$6,4,0)*1000+IF(AND(MOD(H4437,30)&lt;0.5,MOD(H4437,30)&gt;=0.02),H4437,0)*VLOOKUP(D4437,'报价表-配送'!$B$2:$I$6,3,0)*1000+IF(AND(MOD(H4437,30)&lt;0.02),H4437,0)*VLOOKUP(D4437,'报价表-配送'!$B$2:$I$6,2,0)*1000</f>
        <v>0</v>
      </c>
      <c r="N4437" s="127">
        <f t="shared" si="537"/>
        <v>0</v>
      </c>
    </row>
    <row r="4438" spans="1:14" x14ac:dyDescent="0.25">
      <c r="A4438" s="121" t="s">
        <v>99</v>
      </c>
      <c r="B4438" s="121" t="s">
        <v>179</v>
      </c>
      <c r="C4438" s="62">
        <f>VLOOKUP(B4438,合并仓明细!$D$2:$F$74,3,0)</f>
        <v>189</v>
      </c>
      <c r="D4438" s="122" t="s">
        <v>413</v>
      </c>
      <c r="E4438" s="123">
        <v>46034</v>
      </c>
      <c r="F4438" s="121" t="s">
        <v>66</v>
      </c>
      <c r="G4438" s="121">
        <v>16</v>
      </c>
      <c r="H4438" s="124">
        <v>1.6E-2</v>
      </c>
      <c r="I4438" s="125"/>
      <c r="J4438" s="125"/>
      <c r="K4438" s="125"/>
      <c r="L4438" s="37">
        <f>IF(H4438&gt;30,QUOTIENT(H4438,30)*VLOOKUP(D4438,'报价表-配送'!$B$2:$I$6,8,0),0)+IF(AND(MOD(H4438,30)&gt;18,MOD(H4438,30)&lt;=30),1,0)*VLOOKUP(D4438,'报价表-配送'!$B$2:$I$6,8,0)+IF(AND(MOD(H4438,30)&gt;8,MOD(H4438,30)&lt;=18),1*VLOOKUP(D4438,'报价表-配送'!$B$2:$I$6,7,0),0)+IF(AND(MOD(H4438,30)&lt;=8,MOD(H4438,30)&gt;2.5),1,0)*VLOOKUP(D4438,'报价表-配送'!$B$2:$I$6,6,0)+IF(AND(MOD(H4438,30)&lt;=2.5,MOD(H4438,30)&gt;=1.5),1,0)*VLOOKUP(D4438,'报价表-配送'!$B$2:$I$6,5,0)</f>
        <v>0</v>
      </c>
      <c r="M4438" s="39">
        <f>IF(AND(MOD(H4438,30)&lt;1.5,MOD(H4438,30)&gt;=0.5),H4438,0)*VLOOKUP(D4438,'报价表-配送'!$B$2:$I$6,4,0)*1000+IF(AND(MOD(H4438,30)&lt;0.5,MOD(H4438,30)&gt;=0.02),H4438,0)*VLOOKUP(D4438,'报价表-配送'!$B$2:$I$6,3,0)*1000+IF(AND(MOD(H4438,30)&lt;0.02),H4438,0)*VLOOKUP(D4438,'报价表-配送'!$B$2:$I$6,2,0)*1000</f>
        <v>0</v>
      </c>
      <c r="N4438" s="127">
        <f t="shared" si="537"/>
        <v>0</v>
      </c>
    </row>
    <row r="4439" spans="1:14" x14ac:dyDescent="0.25">
      <c r="A4439" s="121" t="s">
        <v>99</v>
      </c>
      <c r="B4439" s="121" t="s">
        <v>179</v>
      </c>
      <c r="C4439" s="62">
        <f>VLOOKUP(B4439,合并仓明细!$D$2:$F$74,3,0)</f>
        <v>189</v>
      </c>
      <c r="D4439" s="122" t="s">
        <v>413</v>
      </c>
      <c r="E4439" s="123">
        <v>46062</v>
      </c>
      <c r="F4439" s="121" t="s">
        <v>66</v>
      </c>
      <c r="G4439" s="121">
        <v>116</v>
      </c>
      <c r="H4439" s="124">
        <v>0.11600000000000001</v>
      </c>
      <c r="I4439" s="125"/>
      <c r="J4439" s="125"/>
      <c r="K4439" s="125"/>
      <c r="L4439" s="37">
        <f>IF(H4439&gt;30,QUOTIENT(H4439,30)*VLOOKUP(D4439,'报价表-配送'!$B$2:$I$6,8,0),0)+IF(AND(MOD(H4439,30)&gt;18,MOD(H4439,30)&lt;=30),1,0)*VLOOKUP(D4439,'报价表-配送'!$B$2:$I$6,8,0)+IF(AND(MOD(H4439,30)&gt;8,MOD(H4439,30)&lt;=18),1*VLOOKUP(D4439,'报价表-配送'!$B$2:$I$6,7,0),0)+IF(AND(MOD(H4439,30)&lt;=8,MOD(H4439,30)&gt;2.5),1,0)*VLOOKUP(D4439,'报价表-配送'!$B$2:$I$6,6,0)+IF(AND(MOD(H4439,30)&lt;=2.5,MOD(H4439,30)&gt;=1.5),1,0)*VLOOKUP(D4439,'报价表-配送'!$B$2:$I$6,5,0)</f>
        <v>0</v>
      </c>
      <c r="M4439" s="39">
        <f>IF(AND(MOD(H4439,30)&lt;1.5,MOD(H4439,30)&gt;=0.5),H4439,0)*VLOOKUP(D4439,'报价表-配送'!$B$2:$I$6,4,0)*1000+IF(AND(MOD(H4439,30)&lt;0.5,MOD(H4439,30)&gt;=0.02),H4439,0)*VLOOKUP(D4439,'报价表-配送'!$B$2:$I$6,3,0)*1000+IF(AND(MOD(H4439,30)&lt;0.02),H4439,0)*VLOOKUP(D4439,'报价表-配送'!$B$2:$I$6,2,0)*1000</f>
        <v>0</v>
      </c>
      <c r="N4439" s="127">
        <f t="shared" si="537"/>
        <v>0</v>
      </c>
    </row>
    <row r="4440" spans="1:14" x14ac:dyDescent="0.25">
      <c r="A4440" s="121" t="s">
        <v>99</v>
      </c>
      <c r="B4440" s="121" t="s">
        <v>179</v>
      </c>
      <c r="C4440" s="62">
        <f>VLOOKUP(B4440,合并仓明细!$D$2:$F$74,3,0)</f>
        <v>189</v>
      </c>
      <c r="D4440" s="122" t="s">
        <v>413</v>
      </c>
      <c r="E4440" s="123">
        <v>46079</v>
      </c>
      <c r="F4440" s="121" t="s">
        <v>66</v>
      </c>
      <c r="G4440" s="121">
        <v>35.4</v>
      </c>
      <c r="H4440" s="124">
        <v>3.5400000000000001E-2</v>
      </c>
      <c r="I4440" s="125"/>
      <c r="J4440" s="125"/>
      <c r="K4440" s="125"/>
      <c r="L4440" s="37">
        <f>IF(H4440&gt;30,QUOTIENT(H4440,30)*VLOOKUP(D4440,'报价表-配送'!$B$2:$I$6,8,0),0)+IF(AND(MOD(H4440,30)&gt;18,MOD(H4440,30)&lt;=30),1,0)*VLOOKUP(D4440,'报价表-配送'!$B$2:$I$6,8,0)+IF(AND(MOD(H4440,30)&gt;8,MOD(H4440,30)&lt;=18),1*VLOOKUP(D4440,'报价表-配送'!$B$2:$I$6,7,0),0)+IF(AND(MOD(H4440,30)&lt;=8,MOD(H4440,30)&gt;2.5),1,0)*VLOOKUP(D4440,'报价表-配送'!$B$2:$I$6,6,0)+IF(AND(MOD(H4440,30)&lt;=2.5,MOD(H4440,30)&gt;=1.5),1,0)*VLOOKUP(D4440,'报价表-配送'!$B$2:$I$6,5,0)</f>
        <v>0</v>
      </c>
      <c r="M4440" s="39">
        <f>IF(AND(MOD(H4440,30)&lt;1.5,MOD(H4440,30)&gt;=0.5),H4440,0)*VLOOKUP(D4440,'报价表-配送'!$B$2:$I$6,4,0)*1000+IF(AND(MOD(H4440,30)&lt;0.5,MOD(H4440,30)&gt;=0.02),H4440,0)*VLOOKUP(D4440,'报价表-配送'!$B$2:$I$6,3,0)*1000+IF(AND(MOD(H4440,30)&lt;0.02),H4440,0)*VLOOKUP(D4440,'报价表-配送'!$B$2:$I$6,2,0)*1000</f>
        <v>0</v>
      </c>
      <c r="N4440" s="127">
        <f t="shared" si="537"/>
        <v>0</v>
      </c>
    </row>
    <row r="4441" spans="1:14" x14ac:dyDescent="0.25">
      <c r="A4441" s="121" t="s">
        <v>103</v>
      </c>
      <c r="B4441" s="121" t="s">
        <v>180</v>
      </c>
      <c r="C4441" s="62">
        <f>VLOOKUP(B4441,合并仓明细!$D$2:$F$74,3,0)</f>
        <v>170</v>
      </c>
      <c r="D4441" s="122" t="s">
        <v>413</v>
      </c>
      <c r="E4441" s="123">
        <v>45940</v>
      </c>
      <c r="F4441" s="121" t="s">
        <v>66</v>
      </c>
      <c r="G4441" s="121">
        <v>16.560000000000002</v>
      </c>
      <c r="H4441" s="124">
        <v>1.6560000000000002E-2</v>
      </c>
      <c r="I4441" s="125"/>
      <c r="J4441" s="125"/>
      <c r="K4441" s="125"/>
      <c r="L4441" s="37">
        <f>IF(H4441&gt;30,QUOTIENT(H4441,30)*VLOOKUP(D4441,'报价表-配送'!$B$47:$I$51,8,0),0)+IF(AND(MOD(H4441,30)&gt;18,MOD(H4441,30)&lt;=30),1,0)*VLOOKUP(D4441,'报价表-配送'!$B$47:$I$51,8,0)+IF(AND(MOD(H4441,30)&gt;8,MOD(H4441,30)&lt;=18),1*VLOOKUP(D4441,'报价表-配送'!$B$47:$I$51,7,0),0)+IF(AND(MOD(H4441,30)&lt;=8,MOD(H4441,30)&gt;2.5),1,0)*VLOOKUP(D4441,'报价表-配送'!$B$47:$I$51,6,0)+IF(AND(MOD(H4441,30)&lt;=2.5,MOD(H4441,30)&gt;=1.5),1,0)*VLOOKUP(D4441,'报价表-配送'!$B$47:$I$51,5,0)</f>
        <v>0</v>
      </c>
      <c r="M4441" s="39">
        <f>IF(AND(MOD(H4441,30)&lt;1.5,MOD(H4441,30)&gt;=0.5),H4441,0)*VLOOKUP(D4441,'报价表-配送'!$B$47:$I$51,4,0)*1000+IF(AND(MOD(H4441,30)&lt;0.5,MOD(H4441,30)&gt;=0.02),H4441,0)*VLOOKUP(D4441,'报价表-配送'!$B$47:$I$51,3,0)*1000+IF(AND(MOD(H4441,30)&lt;0.02),H4441,0)*VLOOKUP(D4441,'报价表-配送'!$B$47:$I$51,2,0)*1000</f>
        <v>0</v>
      </c>
      <c r="N4441" s="127">
        <f t="shared" si="537"/>
        <v>0</v>
      </c>
    </row>
    <row r="4442" spans="1:14" x14ac:dyDescent="0.25">
      <c r="A4442" s="121" t="s">
        <v>103</v>
      </c>
      <c r="B4442" s="121" t="s">
        <v>180</v>
      </c>
      <c r="C4442" s="62">
        <f>VLOOKUP(B4442,合并仓明细!$D$2:$F$74,3,0)</f>
        <v>170</v>
      </c>
      <c r="D4442" s="122" t="s">
        <v>413</v>
      </c>
      <c r="E4442" s="123">
        <v>45941</v>
      </c>
      <c r="F4442" s="121" t="s">
        <v>66</v>
      </c>
      <c r="G4442" s="121">
        <v>93.56</v>
      </c>
      <c r="H4442" s="124">
        <v>9.3560000000000004E-2</v>
      </c>
      <c r="I4442" s="125"/>
      <c r="J4442" s="125"/>
      <c r="K4442" s="125"/>
      <c r="L4442" s="37">
        <f>IF(H4442&gt;30,QUOTIENT(H4442,30)*VLOOKUP(D4442,'报价表-配送'!$B$47:$I$51,8,0),0)+IF(AND(MOD(H4442,30)&gt;18,MOD(H4442,30)&lt;=30),1,0)*VLOOKUP(D4442,'报价表-配送'!$B$47:$I$51,8,0)+IF(AND(MOD(H4442,30)&gt;8,MOD(H4442,30)&lt;=18),1*VLOOKUP(D4442,'报价表-配送'!$B$47:$I$51,7,0),0)+IF(AND(MOD(H4442,30)&lt;=8,MOD(H4442,30)&gt;2.5),1,0)*VLOOKUP(D4442,'报价表-配送'!$B$47:$I$51,6,0)+IF(AND(MOD(H4442,30)&lt;=2.5,MOD(H4442,30)&gt;=1.5),1,0)*VLOOKUP(D4442,'报价表-配送'!$B$47:$I$51,5,0)</f>
        <v>0</v>
      </c>
      <c r="M4442" s="39">
        <f>IF(AND(MOD(H4442,30)&lt;1.5,MOD(H4442,30)&gt;=0.5),H4442,0)*VLOOKUP(D4442,'报价表-配送'!$B$47:$I$51,4,0)*1000+IF(AND(MOD(H4442,30)&lt;0.5,MOD(H4442,30)&gt;=0.02),H4442,0)*VLOOKUP(D4442,'报价表-配送'!$B$47:$I$51,3,0)*1000+IF(AND(MOD(H4442,30)&lt;0.02),H4442,0)*VLOOKUP(D4442,'报价表-配送'!$B$47:$I$51,2,0)*1000</f>
        <v>0</v>
      </c>
      <c r="N4442" s="127">
        <f t="shared" si="537"/>
        <v>0</v>
      </c>
    </row>
    <row r="4443" spans="1:14" x14ac:dyDescent="0.25">
      <c r="A4443" s="121" t="s">
        <v>103</v>
      </c>
      <c r="B4443" s="121" t="s">
        <v>180</v>
      </c>
      <c r="C4443" s="62">
        <f>VLOOKUP(B4443,合并仓明细!$D$2:$F$74,3,0)</f>
        <v>170</v>
      </c>
      <c r="D4443" s="122" t="s">
        <v>413</v>
      </c>
      <c r="E4443" s="123">
        <v>45945</v>
      </c>
      <c r="F4443" s="121" t="s">
        <v>66</v>
      </c>
      <c r="G4443" s="121">
        <v>66.05</v>
      </c>
      <c r="H4443" s="124">
        <v>6.6049999999999998E-2</v>
      </c>
      <c r="I4443" s="125"/>
      <c r="J4443" s="125"/>
      <c r="K4443" s="125"/>
      <c r="L4443" s="37">
        <f>IF(H4443&gt;30,QUOTIENT(H4443,30)*VLOOKUP(D4443,'报价表-配送'!$B$47:$I$51,8,0),0)+IF(AND(MOD(H4443,30)&gt;18,MOD(H4443,30)&lt;=30),1,0)*VLOOKUP(D4443,'报价表-配送'!$B$47:$I$51,8,0)+IF(AND(MOD(H4443,30)&gt;8,MOD(H4443,30)&lt;=18),1*VLOOKUP(D4443,'报价表-配送'!$B$47:$I$51,7,0),0)+IF(AND(MOD(H4443,30)&lt;=8,MOD(H4443,30)&gt;2.5),1,0)*VLOOKUP(D4443,'报价表-配送'!$B$47:$I$51,6,0)+IF(AND(MOD(H4443,30)&lt;=2.5,MOD(H4443,30)&gt;=1.5),1,0)*VLOOKUP(D4443,'报价表-配送'!$B$47:$I$51,5,0)</f>
        <v>0</v>
      </c>
      <c r="M4443" s="39">
        <f>IF(AND(MOD(H4443,30)&lt;1.5,MOD(H4443,30)&gt;=0.5),H4443,0)*VLOOKUP(D4443,'报价表-配送'!$B$47:$I$51,4,0)*1000+IF(AND(MOD(H4443,30)&lt;0.5,MOD(H4443,30)&gt;=0.02),H4443,0)*VLOOKUP(D4443,'报价表-配送'!$B$47:$I$51,3,0)*1000+IF(AND(MOD(H4443,30)&lt;0.02),H4443,0)*VLOOKUP(D4443,'报价表-配送'!$B$47:$I$51,2,0)*1000</f>
        <v>0</v>
      </c>
      <c r="N4443" s="127">
        <f t="shared" si="537"/>
        <v>0</v>
      </c>
    </row>
    <row r="4444" spans="1:14" x14ac:dyDescent="0.25">
      <c r="A4444" s="121" t="s">
        <v>103</v>
      </c>
      <c r="B4444" s="121" t="s">
        <v>180</v>
      </c>
      <c r="C4444" s="62">
        <f>VLOOKUP(B4444,合并仓明细!$D$2:$F$74,3,0)</f>
        <v>170</v>
      </c>
      <c r="D4444" s="122" t="s">
        <v>413</v>
      </c>
      <c r="E4444" s="123">
        <v>45946</v>
      </c>
      <c r="F4444" s="121" t="s">
        <v>66</v>
      </c>
      <c r="G4444" s="121">
        <v>98.07</v>
      </c>
      <c r="H4444" s="124">
        <v>9.8069999999999991E-2</v>
      </c>
      <c r="I4444" s="125"/>
      <c r="J4444" s="125"/>
      <c r="K4444" s="125"/>
      <c r="L4444" s="37">
        <f>IF(H4444&gt;30,QUOTIENT(H4444,30)*VLOOKUP(D4444,'报价表-配送'!$B$47:$I$51,8,0),0)+IF(AND(MOD(H4444,30)&gt;18,MOD(H4444,30)&lt;=30),1,0)*VLOOKUP(D4444,'报价表-配送'!$B$47:$I$51,8,0)+IF(AND(MOD(H4444,30)&gt;8,MOD(H4444,30)&lt;=18),1*VLOOKUP(D4444,'报价表-配送'!$B$47:$I$51,7,0),0)+IF(AND(MOD(H4444,30)&lt;=8,MOD(H4444,30)&gt;2.5),1,0)*VLOOKUP(D4444,'报价表-配送'!$B$47:$I$51,6,0)+IF(AND(MOD(H4444,30)&lt;=2.5,MOD(H4444,30)&gt;=1.5),1,0)*VLOOKUP(D4444,'报价表-配送'!$B$47:$I$51,5,0)</f>
        <v>0</v>
      </c>
      <c r="M4444" s="39">
        <f>IF(AND(MOD(H4444,30)&lt;1.5,MOD(H4444,30)&gt;=0.5),H4444,0)*VLOOKUP(D4444,'报价表-配送'!$B$47:$I$51,4,0)*1000+IF(AND(MOD(H4444,30)&lt;0.5,MOD(H4444,30)&gt;=0.02),H4444,0)*VLOOKUP(D4444,'报价表-配送'!$B$47:$I$51,3,0)*1000+IF(AND(MOD(H4444,30)&lt;0.02),H4444,0)*VLOOKUP(D4444,'报价表-配送'!$B$47:$I$51,2,0)*1000</f>
        <v>0</v>
      </c>
      <c r="N4444" s="127">
        <f t="shared" si="537"/>
        <v>0</v>
      </c>
    </row>
    <row r="4445" spans="1:14" x14ac:dyDescent="0.25">
      <c r="A4445" s="121" t="s">
        <v>103</v>
      </c>
      <c r="B4445" s="121" t="s">
        <v>180</v>
      </c>
      <c r="C4445" s="62">
        <f>VLOOKUP(B4445,合并仓明细!$D$2:$F$74,3,0)</f>
        <v>170</v>
      </c>
      <c r="D4445" s="122" t="s">
        <v>413</v>
      </c>
      <c r="E4445" s="123">
        <v>45954</v>
      </c>
      <c r="F4445" s="121" t="s">
        <v>67</v>
      </c>
      <c r="G4445" s="121">
        <v>12996.33</v>
      </c>
      <c r="H4445" s="124">
        <v>13.45903</v>
      </c>
      <c r="I4445" s="38">
        <f>IF(H4445&gt;30,QUOTIENT(H4445,30)*VLOOKUP(D4445,'报价表-配送'!$B$47:$I$51,8,0),0)+IF(AND(MOD(H4445,30)&gt;18,MOD(H4445,30)&lt;=30),1,0)*VLOOKUP(D4445,'报价表-配送'!$B$47:$I$51,8,0)</f>
        <v>0</v>
      </c>
      <c r="J4445" s="38">
        <f>IF(AND(MOD(H4445,30)&gt;8,MOD(H4445,30)&lt;=18),1*VLOOKUP(D4445,'报价表-配送'!$B$47:$I$51,7,0),0)</f>
        <v>0</v>
      </c>
      <c r="K4445" s="38">
        <f>IF(AND(MOD(H4445,30)&lt;=8,MOD(H4445,30)&gt;0),1,0)*VLOOKUP(D4445,'报价表-配送'!$B$47:$I$51,6,0)</f>
        <v>0</v>
      </c>
      <c r="L4445" s="121"/>
      <c r="M4445" s="126"/>
      <c r="N4445" s="127">
        <f t="shared" si="537"/>
        <v>0</v>
      </c>
    </row>
    <row r="4446" spans="1:14" x14ac:dyDescent="0.25">
      <c r="A4446" s="121" t="s">
        <v>103</v>
      </c>
      <c r="B4446" s="121" t="s">
        <v>180</v>
      </c>
      <c r="C4446" s="62">
        <f>VLOOKUP(B4446,合并仓明细!$D$2:$F$74,3,0)</f>
        <v>170</v>
      </c>
      <c r="D4446" s="122" t="s">
        <v>413</v>
      </c>
      <c r="E4446" s="123">
        <v>45954</v>
      </c>
      <c r="F4446" s="121" t="s">
        <v>66</v>
      </c>
      <c r="G4446" s="121">
        <v>462.7</v>
      </c>
      <c r="H4446" s="124"/>
      <c r="I4446" s="125"/>
      <c r="J4446" s="125"/>
      <c r="K4446" s="125"/>
      <c r="L4446" s="121"/>
      <c r="M4446" s="126"/>
      <c r="N4446" s="121"/>
    </row>
    <row r="4447" spans="1:14" x14ac:dyDescent="0.25">
      <c r="A4447" s="121" t="s">
        <v>103</v>
      </c>
      <c r="B4447" s="121" t="s">
        <v>180</v>
      </c>
      <c r="C4447" s="62">
        <f>VLOOKUP(B4447,合并仓明细!$D$2:$F$74,3,0)</f>
        <v>170</v>
      </c>
      <c r="D4447" s="122" t="s">
        <v>413</v>
      </c>
      <c r="E4447" s="123">
        <v>45957</v>
      </c>
      <c r="F4447" s="121" t="s">
        <v>67</v>
      </c>
      <c r="G4447" s="121">
        <v>4861.67</v>
      </c>
      <c r="H4447" s="124">
        <v>7.2282900000000012</v>
      </c>
      <c r="I4447" s="38">
        <f>IF(H4447&gt;30,QUOTIENT(H4447,30)*VLOOKUP(D4447,'报价表-配送'!$B$47:$I$51,8,0),0)+IF(AND(MOD(H4447,30)&gt;18,MOD(H4447,30)&lt;=30),1,0)*VLOOKUP(D4447,'报价表-配送'!$B$47:$I$51,8,0)</f>
        <v>0</v>
      </c>
      <c r="J4447" s="38">
        <f>IF(AND(MOD(H4447,30)&gt;8,MOD(H4447,30)&lt;=18),1*VLOOKUP(D4447,'报价表-配送'!$B$47:$I$51,7,0),0)</f>
        <v>0</v>
      </c>
      <c r="K4447" s="38">
        <f>IF(AND(MOD(H4447,30)&lt;=8,MOD(H4447,30)&gt;0),1,0)*VLOOKUP(D4447,'报价表-配送'!$B$47:$I$51,6,0)</f>
        <v>0</v>
      </c>
      <c r="L4447" s="121"/>
      <c r="M4447" s="126"/>
      <c r="N4447" s="127">
        <f t="shared" ref="N4447" si="538">SUM(I4447:L4447)</f>
        <v>0</v>
      </c>
    </row>
    <row r="4448" spans="1:14" x14ac:dyDescent="0.25">
      <c r="A4448" s="121" t="s">
        <v>103</v>
      </c>
      <c r="B4448" s="121" t="s">
        <v>180</v>
      </c>
      <c r="C4448" s="62">
        <f>VLOOKUP(B4448,合并仓明细!$D$2:$F$74,3,0)</f>
        <v>170</v>
      </c>
      <c r="D4448" s="122" t="s">
        <v>413</v>
      </c>
      <c r="E4448" s="123">
        <v>45957</v>
      </c>
      <c r="F4448" s="121" t="s">
        <v>66</v>
      </c>
      <c r="G4448" s="121">
        <v>2366.6200000000003</v>
      </c>
      <c r="H4448" s="124"/>
      <c r="I4448" s="125"/>
      <c r="J4448" s="125"/>
      <c r="K4448" s="125"/>
      <c r="L4448" s="121"/>
      <c r="M4448" s="126"/>
      <c r="N4448" s="121"/>
    </row>
    <row r="4449" spans="1:14" x14ac:dyDescent="0.25">
      <c r="A4449" s="121" t="s">
        <v>103</v>
      </c>
      <c r="B4449" s="121" t="s">
        <v>180</v>
      </c>
      <c r="C4449" s="62">
        <f>VLOOKUP(B4449,合并仓明细!$D$2:$F$74,3,0)</f>
        <v>170</v>
      </c>
      <c r="D4449" s="122" t="s">
        <v>413</v>
      </c>
      <c r="E4449" s="123">
        <v>45958</v>
      </c>
      <c r="F4449" s="121" t="s">
        <v>68</v>
      </c>
      <c r="G4449" s="121">
        <v>9390.1</v>
      </c>
      <c r="H4449" s="124">
        <v>10.777810000000001</v>
      </c>
      <c r="I4449" s="46">
        <f>ROUNDUP(H4449/30,0)*VLOOKUP(D4449,'报价表-配送'!$B$47:$I$51,8,0)</f>
        <v>0</v>
      </c>
      <c r="J4449" s="125"/>
      <c r="K4449" s="125"/>
      <c r="L4449" s="121"/>
      <c r="M4449" s="126"/>
      <c r="N4449" s="127">
        <f t="shared" ref="N4449" si="539">SUM(I4449:L4449)</f>
        <v>0</v>
      </c>
    </row>
    <row r="4450" spans="1:14" x14ac:dyDescent="0.25">
      <c r="A4450" s="121" t="s">
        <v>103</v>
      </c>
      <c r="B4450" s="121" t="s">
        <v>180</v>
      </c>
      <c r="C4450" s="62">
        <f>VLOOKUP(B4450,合并仓明细!$D$2:$F$74,3,0)</f>
        <v>170</v>
      </c>
      <c r="D4450" s="122" t="s">
        <v>413</v>
      </c>
      <c r="E4450" s="123">
        <v>45958</v>
      </c>
      <c r="F4450" s="121" t="s">
        <v>66</v>
      </c>
      <c r="G4450" s="121">
        <v>1387.71</v>
      </c>
      <c r="H4450" s="124"/>
      <c r="I4450" s="125"/>
      <c r="J4450" s="125"/>
      <c r="K4450" s="125"/>
      <c r="L4450" s="121"/>
      <c r="M4450" s="126"/>
      <c r="N4450" s="121"/>
    </row>
    <row r="4451" spans="1:14" x14ac:dyDescent="0.25">
      <c r="A4451" s="121" t="s">
        <v>103</v>
      </c>
      <c r="B4451" s="121" t="s">
        <v>180</v>
      </c>
      <c r="C4451" s="62">
        <f>VLOOKUP(B4451,合并仓明细!$D$2:$F$74,3,0)</f>
        <v>170</v>
      </c>
      <c r="D4451" s="122" t="s">
        <v>413</v>
      </c>
      <c r="E4451" s="123">
        <v>45965</v>
      </c>
      <c r="F4451" s="121" t="s">
        <v>66</v>
      </c>
      <c r="G4451" s="121">
        <v>7.68</v>
      </c>
      <c r="H4451" s="124">
        <v>7.6799999999999993E-3</v>
      </c>
      <c r="I4451" s="125"/>
      <c r="J4451" s="125"/>
      <c r="K4451" s="125"/>
      <c r="L4451" s="37">
        <f>IF(H4451&gt;30,QUOTIENT(H4451,30)*VLOOKUP(D4451,'报价表-配送'!$B$47:$I$51,8,0),0)+IF(AND(MOD(H4451,30)&gt;18,MOD(H4451,30)&lt;=30),1,0)*VLOOKUP(D4451,'报价表-配送'!$B$47:$I$51,8,0)+IF(AND(MOD(H4451,30)&gt;8,MOD(H4451,30)&lt;=18),1*VLOOKUP(D4451,'报价表-配送'!$B$47:$I$51,7,0),0)+IF(AND(MOD(H4451,30)&lt;=8,MOD(H4451,30)&gt;2.5),1,0)*VLOOKUP(D4451,'报价表-配送'!$B$47:$I$51,6,0)+IF(AND(MOD(H4451,30)&lt;=2.5,MOD(H4451,30)&gt;=1.5),1,0)*VLOOKUP(D4451,'报价表-配送'!$B$47:$I$51,5,0)</f>
        <v>0</v>
      </c>
      <c r="M4451" s="39">
        <f>IF(AND(MOD(H4451,30)&lt;1.5,MOD(H4451,30)&gt;=0.5),H4451,0)*VLOOKUP(D4451,'报价表-配送'!$B$47:$I$51,4,0)*1000+IF(AND(MOD(H4451,30)&lt;0.5,MOD(H4451,30)&gt;=0.02),H4451,0)*VLOOKUP(D4451,'报价表-配送'!$B$47:$I$51,3,0)*1000+IF(AND(MOD(H4451,30)&lt;0.02),H4451,0)*VLOOKUP(D4451,'报价表-配送'!$B$47:$I$51,2,0)*1000</f>
        <v>0</v>
      </c>
      <c r="N4451" s="127">
        <f t="shared" ref="N4451:N4453" si="540">SUM(I4451:L4451)</f>
        <v>0</v>
      </c>
    </row>
    <row r="4452" spans="1:14" x14ac:dyDescent="0.25">
      <c r="A4452" s="121" t="s">
        <v>103</v>
      </c>
      <c r="B4452" s="121" t="s">
        <v>180</v>
      </c>
      <c r="C4452" s="62">
        <f>VLOOKUP(B4452,合并仓明细!$D$2:$F$74,3,0)</f>
        <v>170</v>
      </c>
      <c r="D4452" s="122" t="s">
        <v>413</v>
      </c>
      <c r="E4452" s="123">
        <v>45971</v>
      </c>
      <c r="F4452" s="121" t="s">
        <v>66</v>
      </c>
      <c r="G4452" s="121">
        <v>78.5</v>
      </c>
      <c r="H4452" s="124">
        <v>7.85E-2</v>
      </c>
      <c r="I4452" s="125"/>
      <c r="J4452" s="125"/>
      <c r="K4452" s="125"/>
      <c r="L4452" s="37">
        <f>IF(H4452&gt;30,QUOTIENT(H4452,30)*VLOOKUP(D4452,'报价表-配送'!$B$47:$I$51,8,0),0)+IF(AND(MOD(H4452,30)&gt;18,MOD(H4452,30)&lt;=30),1,0)*VLOOKUP(D4452,'报价表-配送'!$B$47:$I$51,8,0)+IF(AND(MOD(H4452,30)&gt;8,MOD(H4452,30)&lt;=18),1*VLOOKUP(D4452,'报价表-配送'!$B$47:$I$51,7,0),0)+IF(AND(MOD(H4452,30)&lt;=8,MOD(H4452,30)&gt;2.5),1,0)*VLOOKUP(D4452,'报价表-配送'!$B$47:$I$51,6,0)+IF(AND(MOD(H4452,30)&lt;=2.5,MOD(H4452,30)&gt;=1.5),1,0)*VLOOKUP(D4452,'报价表-配送'!$B$47:$I$51,5,0)</f>
        <v>0</v>
      </c>
      <c r="M4452" s="39">
        <f>IF(AND(MOD(H4452,30)&lt;1.5,MOD(H4452,30)&gt;=0.5),H4452,0)*VLOOKUP(D4452,'报价表-配送'!$B$47:$I$51,4,0)*1000+IF(AND(MOD(H4452,30)&lt;0.5,MOD(H4452,30)&gt;=0.02),H4452,0)*VLOOKUP(D4452,'报价表-配送'!$B$47:$I$51,3,0)*1000+IF(AND(MOD(H4452,30)&lt;0.02),H4452,0)*VLOOKUP(D4452,'报价表-配送'!$B$47:$I$51,2,0)*1000</f>
        <v>0</v>
      </c>
      <c r="N4452" s="127">
        <f t="shared" si="540"/>
        <v>0</v>
      </c>
    </row>
    <row r="4453" spans="1:14" x14ac:dyDescent="0.25">
      <c r="A4453" s="121" t="s">
        <v>103</v>
      </c>
      <c r="B4453" s="121" t="s">
        <v>180</v>
      </c>
      <c r="C4453" s="62">
        <f>VLOOKUP(B4453,合并仓明细!$D$2:$F$74,3,0)</f>
        <v>170</v>
      </c>
      <c r="D4453" s="122" t="s">
        <v>413</v>
      </c>
      <c r="E4453" s="123">
        <v>45972</v>
      </c>
      <c r="F4453" s="121" t="s">
        <v>68</v>
      </c>
      <c r="G4453" s="121">
        <v>164.16</v>
      </c>
      <c r="H4453" s="124">
        <v>0.18515999999999999</v>
      </c>
      <c r="I4453" s="46">
        <f>ROUNDUP(H4453/30,0)*VLOOKUP(D4453,'报价表-配送'!$B$47:$I$51,8,0)</f>
        <v>0</v>
      </c>
      <c r="J4453" s="125"/>
      <c r="K4453" s="125"/>
      <c r="L4453" s="121"/>
      <c r="M4453" s="126"/>
      <c r="N4453" s="127">
        <f t="shared" si="540"/>
        <v>0</v>
      </c>
    </row>
    <row r="4454" spans="1:14" x14ac:dyDescent="0.25">
      <c r="A4454" s="121" t="s">
        <v>103</v>
      </c>
      <c r="B4454" s="121" t="s">
        <v>180</v>
      </c>
      <c r="C4454" s="62">
        <f>VLOOKUP(B4454,合并仓明细!$D$2:$F$74,3,0)</f>
        <v>170</v>
      </c>
      <c r="D4454" s="122" t="s">
        <v>413</v>
      </c>
      <c r="E4454" s="123">
        <v>45972</v>
      </c>
      <c r="F4454" s="121" t="s">
        <v>66</v>
      </c>
      <c r="G4454" s="121">
        <v>21</v>
      </c>
      <c r="H4454" s="124"/>
      <c r="I4454" s="125"/>
      <c r="J4454" s="125"/>
      <c r="K4454" s="125"/>
      <c r="L4454" s="121"/>
      <c r="M4454" s="126"/>
      <c r="N4454" s="121"/>
    </row>
    <row r="4455" spans="1:14" x14ac:dyDescent="0.25">
      <c r="A4455" s="121" t="s">
        <v>103</v>
      </c>
      <c r="B4455" s="121" t="s">
        <v>180</v>
      </c>
      <c r="C4455" s="62">
        <f>VLOOKUP(B4455,合并仓明细!$D$2:$F$74,3,0)</f>
        <v>170</v>
      </c>
      <c r="D4455" s="122" t="s">
        <v>413</v>
      </c>
      <c r="E4455" s="123">
        <v>45975</v>
      </c>
      <c r="F4455" s="121" t="s">
        <v>66</v>
      </c>
      <c r="G4455" s="121">
        <v>113.36</v>
      </c>
      <c r="H4455" s="124">
        <v>0.11336</v>
      </c>
      <c r="I4455" s="125"/>
      <c r="J4455" s="125"/>
      <c r="K4455" s="125"/>
      <c r="L4455" s="37">
        <f>IF(H4455&gt;30,QUOTIENT(H4455,30)*VLOOKUP(D4455,'报价表-配送'!$B$47:$I$51,8,0),0)+IF(AND(MOD(H4455,30)&gt;18,MOD(H4455,30)&lt;=30),1,0)*VLOOKUP(D4455,'报价表-配送'!$B$47:$I$51,8,0)+IF(AND(MOD(H4455,30)&gt;8,MOD(H4455,30)&lt;=18),1*VLOOKUP(D4455,'报价表-配送'!$B$47:$I$51,7,0),0)+IF(AND(MOD(H4455,30)&lt;=8,MOD(H4455,30)&gt;2.5),1,0)*VLOOKUP(D4455,'报价表-配送'!$B$47:$I$51,6,0)+IF(AND(MOD(H4455,30)&lt;=2.5,MOD(H4455,30)&gt;=1.5),1,0)*VLOOKUP(D4455,'报价表-配送'!$B$47:$I$51,5,0)</f>
        <v>0</v>
      </c>
      <c r="M4455" s="39">
        <f>IF(AND(MOD(H4455,30)&lt;1.5,MOD(H4455,30)&gt;=0.5),H4455,0)*VLOOKUP(D4455,'报价表-配送'!$B$47:$I$51,4,0)*1000+IF(AND(MOD(H4455,30)&lt;0.5,MOD(H4455,30)&gt;=0.02),H4455,0)*VLOOKUP(D4455,'报价表-配送'!$B$47:$I$51,3,0)*1000+IF(AND(MOD(H4455,30)&lt;0.02),H4455,0)*VLOOKUP(D4455,'报价表-配送'!$B$47:$I$51,2,0)*1000</f>
        <v>0</v>
      </c>
      <c r="N4455" s="127">
        <f t="shared" ref="N4455:N4457" si="541">SUM(I4455:L4455)</f>
        <v>0</v>
      </c>
    </row>
    <row r="4456" spans="1:14" x14ac:dyDescent="0.25">
      <c r="A4456" s="121" t="s">
        <v>103</v>
      </c>
      <c r="B4456" s="121" t="s">
        <v>180</v>
      </c>
      <c r="C4456" s="62">
        <f>VLOOKUP(B4456,合并仓明细!$D$2:$F$74,3,0)</f>
        <v>170</v>
      </c>
      <c r="D4456" s="122" t="s">
        <v>413</v>
      </c>
      <c r="E4456" s="123">
        <v>45978</v>
      </c>
      <c r="F4456" s="121" t="s">
        <v>66</v>
      </c>
      <c r="G4456" s="121">
        <v>45.55</v>
      </c>
      <c r="H4456" s="124">
        <v>4.555E-2</v>
      </c>
      <c r="I4456" s="125"/>
      <c r="J4456" s="125"/>
      <c r="K4456" s="125"/>
      <c r="L4456" s="37">
        <f>IF(H4456&gt;30,QUOTIENT(H4456,30)*VLOOKUP(D4456,'报价表-配送'!$B$47:$I$51,8,0),0)+IF(AND(MOD(H4456,30)&gt;18,MOD(H4456,30)&lt;=30),1,0)*VLOOKUP(D4456,'报价表-配送'!$B$47:$I$51,8,0)+IF(AND(MOD(H4456,30)&gt;8,MOD(H4456,30)&lt;=18),1*VLOOKUP(D4456,'报价表-配送'!$B$47:$I$51,7,0),0)+IF(AND(MOD(H4456,30)&lt;=8,MOD(H4456,30)&gt;2.5),1,0)*VLOOKUP(D4456,'报价表-配送'!$B$47:$I$51,6,0)+IF(AND(MOD(H4456,30)&lt;=2.5,MOD(H4456,30)&gt;=1.5),1,0)*VLOOKUP(D4456,'报价表-配送'!$B$47:$I$51,5,0)</f>
        <v>0</v>
      </c>
      <c r="M4456" s="39">
        <f>IF(AND(MOD(H4456,30)&lt;1.5,MOD(H4456,30)&gt;=0.5),H4456,0)*VLOOKUP(D4456,'报价表-配送'!$B$47:$I$51,4,0)*1000+IF(AND(MOD(H4456,30)&lt;0.5,MOD(H4456,30)&gt;=0.02),H4456,0)*VLOOKUP(D4456,'报价表-配送'!$B$47:$I$51,3,0)*1000+IF(AND(MOD(H4456,30)&lt;0.02),H4456,0)*VLOOKUP(D4456,'报价表-配送'!$B$47:$I$51,2,0)*1000</f>
        <v>0</v>
      </c>
      <c r="N4456" s="127">
        <f t="shared" si="541"/>
        <v>0</v>
      </c>
    </row>
    <row r="4457" spans="1:14" x14ac:dyDescent="0.25">
      <c r="A4457" s="121" t="s">
        <v>103</v>
      </c>
      <c r="B4457" s="121" t="s">
        <v>180</v>
      </c>
      <c r="C4457" s="62">
        <f>VLOOKUP(B4457,合并仓明细!$D$2:$F$74,3,0)</f>
        <v>170</v>
      </c>
      <c r="D4457" s="122" t="s">
        <v>413</v>
      </c>
      <c r="E4457" s="123">
        <v>45980</v>
      </c>
      <c r="F4457" s="121" t="s">
        <v>68</v>
      </c>
      <c r="G4457" s="121">
        <v>22176.839999999997</v>
      </c>
      <c r="H4457" s="124">
        <v>23.530039999999996</v>
      </c>
      <c r="I4457" s="46">
        <f>ROUNDUP(H4457/30,0)*VLOOKUP(D4457,'报价表-配送'!$B$47:$I$51,8,0)</f>
        <v>0</v>
      </c>
      <c r="J4457" s="125"/>
      <c r="K4457" s="125"/>
      <c r="L4457" s="121"/>
      <c r="M4457" s="126"/>
      <c r="N4457" s="127">
        <f t="shared" si="541"/>
        <v>0</v>
      </c>
    </row>
    <row r="4458" spans="1:14" x14ac:dyDescent="0.25">
      <c r="A4458" s="121" t="s">
        <v>103</v>
      </c>
      <c r="B4458" s="121" t="s">
        <v>180</v>
      </c>
      <c r="C4458" s="62">
        <f>VLOOKUP(B4458,合并仓明细!$D$2:$F$74,3,0)</f>
        <v>170</v>
      </c>
      <c r="D4458" s="122" t="s">
        <v>413</v>
      </c>
      <c r="E4458" s="123">
        <v>45980</v>
      </c>
      <c r="F4458" s="121" t="s">
        <v>66</v>
      </c>
      <c r="G4458" s="121">
        <v>1353.1999999999996</v>
      </c>
      <c r="H4458" s="124"/>
      <c r="I4458" s="125"/>
      <c r="J4458" s="125"/>
      <c r="K4458" s="125"/>
      <c r="L4458" s="121"/>
      <c r="M4458" s="126"/>
      <c r="N4458" s="121"/>
    </row>
    <row r="4459" spans="1:14" x14ac:dyDescent="0.25">
      <c r="A4459" s="121" t="s">
        <v>103</v>
      </c>
      <c r="B4459" s="121" t="s">
        <v>180</v>
      </c>
      <c r="C4459" s="62">
        <f>VLOOKUP(B4459,合并仓明细!$D$2:$F$74,3,0)</f>
        <v>170</v>
      </c>
      <c r="D4459" s="122" t="s">
        <v>413</v>
      </c>
      <c r="E4459" s="123">
        <v>45982</v>
      </c>
      <c r="F4459" s="121" t="s">
        <v>68</v>
      </c>
      <c r="G4459" s="121">
        <v>8120.06</v>
      </c>
      <c r="H4459" s="124">
        <v>8.1200600000000005</v>
      </c>
      <c r="I4459" s="46">
        <f>ROUNDUP(H4459/30,0)*VLOOKUP(D4459,'报价表-配送'!$B$47:$I$51,8,0)</f>
        <v>0</v>
      </c>
      <c r="J4459" s="125"/>
      <c r="K4459" s="125"/>
      <c r="L4459" s="121"/>
      <c r="M4459" s="126"/>
      <c r="N4459" s="127">
        <f t="shared" ref="N4459:N4460" si="542">SUM(I4459:L4459)</f>
        <v>0</v>
      </c>
    </row>
    <row r="4460" spans="1:14" x14ac:dyDescent="0.25">
      <c r="A4460" s="121" t="s">
        <v>103</v>
      </c>
      <c r="B4460" s="121" t="s">
        <v>180</v>
      </c>
      <c r="C4460" s="62">
        <f>VLOOKUP(B4460,合并仓明细!$D$2:$F$74,3,0)</f>
        <v>170</v>
      </c>
      <c r="D4460" s="122" t="s">
        <v>413</v>
      </c>
      <c r="E4460" s="123">
        <v>45985</v>
      </c>
      <c r="F4460" s="121" t="s">
        <v>68</v>
      </c>
      <c r="G4460" s="121">
        <v>8122.67</v>
      </c>
      <c r="H4460" s="124">
        <v>18.098939999999999</v>
      </c>
      <c r="I4460" s="46">
        <f>ROUNDUP(H4460/30,0)*VLOOKUP(D4460,'报价表-配送'!$B$47:$I$51,8,0)</f>
        <v>0</v>
      </c>
      <c r="J4460" s="125"/>
      <c r="K4460" s="125"/>
      <c r="L4460" s="121"/>
      <c r="M4460" s="126"/>
      <c r="N4460" s="127">
        <f t="shared" si="542"/>
        <v>0</v>
      </c>
    </row>
    <row r="4461" spans="1:14" x14ac:dyDescent="0.25">
      <c r="A4461" s="121" t="s">
        <v>103</v>
      </c>
      <c r="B4461" s="121" t="s">
        <v>180</v>
      </c>
      <c r="C4461" s="62">
        <f>VLOOKUP(B4461,合并仓明细!$D$2:$F$74,3,0)</f>
        <v>170</v>
      </c>
      <c r="D4461" s="122" t="s">
        <v>413</v>
      </c>
      <c r="E4461" s="123">
        <v>45985</v>
      </c>
      <c r="F4461" s="121" t="s">
        <v>67</v>
      </c>
      <c r="G4461" s="121">
        <v>9475.49</v>
      </c>
      <c r="H4461" s="124"/>
      <c r="I4461" s="125"/>
      <c r="J4461" s="125"/>
      <c r="K4461" s="125"/>
      <c r="L4461" s="121"/>
      <c r="M4461" s="126"/>
      <c r="N4461" s="121"/>
    </row>
    <row r="4462" spans="1:14" x14ac:dyDescent="0.25">
      <c r="A4462" s="121" t="s">
        <v>103</v>
      </c>
      <c r="B4462" s="121" t="s">
        <v>180</v>
      </c>
      <c r="C4462" s="62">
        <f>VLOOKUP(B4462,合并仓明细!$D$2:$F$74,3,0)</f>
        <v>170</v>
      </c>
      <c r="D4462" s="122" t="s">
        <v>413</v>
      </c>
      <c r="E4462" s="123">
        <v>45985</v>
      </c>
      <c r="F4462" s="121" t="s">
        <v>66</v>
      </c>
      <c r="G4462" s="121">
        <v>500.78000000000003</v>
      </c>
      <c r="H4462" s="124"/>
      <c r="I4462" s="125"/>
      <c r="J4462" s="125"/>
      <c r="K4462" s="125"/>
      <c r="L4462" s="121"/>
      <c r="M4462" s="126"/>
      <c r="N4462" s="121"/>
    </row>
    <row r="4463" spans="1:14" x14ac:dyDescent="0.25">
      <c r="A4463" s="121" t="s">
        <v>103</v>
      </c>
      <c r="B4463" s="121" t="s">
        <v>180</v>
      </c>
      <c r="C4463" s="62">
        <f>VLOOKUP(B4463,合并仓明细!$D$2:$F$74,3,0)</f>
        <v>170</v>
      </c>
      <c r="D4463" s="122" t="s">
        <v>413</v>
      </c>
      <c r="E4463" s="123">
        <v>45995</v>
      </c>
      <c r="F4463" s="121" t="s">
        <v>66</v>
      </c>
      <c r="G4463" s="121">
        <v>122.26000000000002</v>
      </c>
      <c r="H4463" s="124">
        <v>0.12226000000000002</v>
      </c>
      <c r="I4463" s="125"/>
      <c r="J4463" s="125"/>
      <c r="K4463" s="125"/>
      <c r="L4463" s="37">
        <f>IF(H4463&gt;30,QUOTIENT(H4463,30)*VLOOKUP(D4463,'报价表-配送'!$B$47:$I$51,8,0),0)+IF(AND(MOD(H4463,30)&gt;18,MOD(H4463,30)&lt;=30),1,0)*VLOOKUP(D4463,'报价表-配送'!$B$47:$I$51,8,0)+IF(AND(MOD(H4463,30)&gt;8,MOD(H4463,30)&lt;=18),1*VLOOKUP(D4463,'报价表-配送'!$B$47:$I$51,7,0),0)+IF(AND(MOD(H4463,30)&lt;=8,MOD(H4463,30)&gt;2.5),1,0)*VLOOKUP(D4463,'报价表-配送'!$B$47:$I$51,6,0)+IF(AND(MOD(H4463,30)&lt;=2.5,MOD(H4463,30)&gt;=1.5),1,0)*VLOOKUP(D4463,'报价表-配送'!$B$47:$I$51,5,0)</f>
        <v>0</v>
      </c>
      <c r="M4463" s="39">
        <f>IF(AND(MOD(H4463,30)&lt;1.5,MOD(H4463,30)&gt;=0.5),H4463,0)*VLOOKUP(D4463,'报价表-配送'!$B$47:$I$51,4,0)*1000+IF(AND(MOD(H4463,30)&lt;0.5,MOD(H4463,30)&gt;=0.02),H4463,0)*VLOOKUP(D4463,'报价表-配送'!$B$47:$I$51,3,0)*1000+IF(AND(MOD(H4463,30)&lt;0.02),H4463,0)*VLOOKUP(D4463,'报价表-配送'!$B$47:$I$51,2,0)*1000</f>
        <v>0</v>
      </c>
      <c r="N4463" s="127">
        <f t="shared" ref="N4463:N4465" si="543">SUM(I4463:L4463)</f>
        <v>0</v>
      </c>
    </row>
    <row r="4464" spans="1:14" x14ac:dyDescent="0.25">
      <c r="A4464" s="121" t="s">
        <v>103</v>
      </c>
      <c r="B4464" s="121" t="s">
        <v>180</v>
      </c>
      <c r="C4464" s="62">
        <f>VLOOKUP(B4464,合并仓明细!$D$2:$F$74,3,0)</f>
        <v>170</v>
      </c>
      <c r="D4464" s="122" t="s">
        <v>413</v>
      </c>
      <c r="E4464" s="123">
        <v>46000</v>
      </c>
      <c r="F4464" s="121" t="s">
        <v>66</v>
      </c>
      <c r="G4464" s="121">
        <v>29.61</v>
      </c>
      <c r="H4464" s="124">
        <v>2.9610000000000001E-2</v>
      </c>
      <c r="I4464" s="125"/>
      <c r="J4464" s="125"/>
      <c r="K4464" s="125"/>
      <c r="L4464" s="37">
        <f>IF(H4464&gt;30,QUOTIENT(H4464,30)*VLOOKUP(D4464,'报价表-配送'!$B$47:$I$51,8,0),0)+IF(AND(MOD(H4464,30)&gt;18,MOD(H4464,30)&lt;=30),1,0)*VLOOKUP(D4464,'报价表-配送'!$B$47:$I$51,8,0)+IF(AND(MOD(H4464,30)&gt;8,MOD(H4464,30)&lt;=18),1*VLOOKUP(D4464,'报价表-配送'!$B$47:$I$51,7,0),0)+IF(AND(MOD(H4464,30)&lt;=8,MOD(H4464,30)&gt;2.5),1,0)*VLOOKUP(D4464,'报价表-配送'!$B$47:$I$51,6,0)+IF(AND(MOD(H4464,30)&lt;=2.5,MOD(H4464,30)&gt;=1.5),1,0)*VLOOKUP(D4464,'报价表-配送'!$B$47:$I$51,5,0)</f>
        <v>0</v>
      </c>
      <c r="M4464" s="39">
        <f>IF(AND(MOD(H4464,30)&lt;1.5,MOD(H4464,30)&gt;=0.5),H4464,0)*VLOOKUP(D4464,'报价表-配送'!$B$47:$I$51,4,0)*1000+IF(AND(MOD(H4464,30)&lt;0.5,MOD(H4464,30)&gt;=0.02),H4464,0)*VLOOKUP(D4464,'报价表-配送'!$B$47:$I$51,3,0)*1000+IF(AND(MOD(H4464,30)&lt;0.02),H4464,0)*VLOOKUP(D4464,'报价表-配送'!$B$47:$I$51,2,0)*1000</f>
        <v>0</v>
      </c>
      <c r="N4464" s="127">
        <f t="shared" si="543"/>
        <v>0</v>
      </c>
    </row>
    <row r="4465" spans="1:14" x14ac:dyDescent="0.25">
      <c r="A4465" s="121" t="s">
        <v>103</v>
      </c>
      <c r="B4465" s="121" t="s">
        <v>180</v>
      </c>
      <c r="C4465" s="62">
        <f>VLOOKUP(B4465,合并仓明细!$D$2:$F$74,3,0)</f>
        <v>170</v>
      </c>
      <c r="D4465" s="122" t="s">
        <v>413</v>
      </c>
      <c r="E4465" s="123">
        <v>46006</v>
      </c>
      <c r="F4465" s="121" t="s">
        <v>67</v>
      </c>
      <c r="G4465" s="121">
        <v>9192.89</v>
      </c>
      <c r="H4465" s="124">
        <v>9.4184300000000007</v>
      </c>
      <c r="I4465" s="38">
        <f>IF(H4465&gt;30,QUOTIENT(H4465,30)*VLOOKUP(D4465,'报价表-配送'!$B$47:$I$51,8,0),0)+IF(AND(MOD(H4465,30)&gt;18,MOD(H4465,30)&lt;=30),1,0)*VLOOKUP(D4465,'报价表-配送'!$B$47:$I$51,8,0)</f>
        <v>0</v>
      </c>
      <c r="J4465" s="38">
        <f>IF(AND(MOD(H4465,30)&gt;8,MOD(H4465,30)&lt;=18),1*VLOOKUP(D4465,'报价表-配送'!$B$47:$I$51,7,0),0)</f>
        <v>0</v>
      </c>
      <c r="K4465" s="38">
        <f>IF(AND(MOD(H4465,30)&lt;=8,MOD(H4465,30)&gt;0),1,0)*VLOOKUP(D4465,'报价表-配送'!$B$47:$I$51,6,0)</f>
        <v>0</v>
      </c>
      <c r="L4465" s="121"/>
      <c r="M4465" s="126"/>
      <c r="N4465" s="127">
        <f t="shared" si="543"/>
        <v>0</v>
      </c>
    </row>
    <row r="4466" spans="1:14" x14ac:dyDescent="0.25">
      <c r="A4466" s="121" t="s">
        <v>103</v>
      </c>
      <c r="B4466" s="121" t="s">
        <v>180</v>
      </c>
      <c r="C4466" s="62">
        <f>VLOOKUP(B4466,合并仓明细!$D$2:$F$74,3,0)</f>
        <v>170</v>
      </c>
      <c r="D4466" s="122" t="s">
        <v>413</v>
      </c>
      <c r="E4466" s="123">
        <v>46006</v>
      </c>
      <c r="F4466" s="121" t="s">
        <v>66</v>
      </c>
      <c r="G4466" s="121">
        <v>225.54</v>
      </c>
      <c r="H4466" s="124"/>
      <c r="I4466" s="125"/>
      <c r="J4466" s="125"/>
      <c r="K4466" s="125"/>
      <c r="L4466" s="121"/>
      <c r="M4466" s="126"/>
      <c r="N4466" s="121"/>
    </row>
    <row r="4467" spans="1:14" x14ac:dyDescent="0.25">
      <c r="A4467" s="121" t="s">
        <v>103</v>
      </c>
      <c r="B4467" s="121" t="s">
        <v>180</v>
      </c>
      <c r="C4467" s="62">
        <f>VLOOKUP(B4467,合并仓明细!$D$2:$F$74,3,0)</f>
        <v>170</v>
      </c>
      <c r="D4467" s="122" t="s">
        <v>413</v>
      </c>
      <c r="E4467" s="123">
        <v>46008</v>
      </c>
      <c r="F4467" s="121" t="s">
        <v>66</v>
      </c>
      <c r="G4467" s="121">
        <v>522.51</v>
      </c>
      <c r="H4467" s="124">
        <v>0.52251000000000003</v>
      </c>
      <c r="I4467" s="125"/>
      <c r="J4467" s="125"/>
      <c r="K4467" s="125"/>
      <c r="L4467" s="37">
        <f>IF(H4467&gt;30,QUOTIENT(H4467,30)*VLOOKUP(D4467,'报价表-配送'!$B$47:$I$51,8,0),0)+IF(AND(MOD(H4467,30)&gt;18,MOD(H4467,30)&lt;=30),1,0)*VLOOKUP(D4467,'报价表-配送'!$B$47:$I$51,8,0)+IF(AND(MOD(H4467,30)&gt;8,MOD(H4467,30)&lt;=18),1*VLOOKUP(D4467,'报价表-配送'!$B$47:$I$51,7,0),0)+IF(AND(MOD(H4467,30)&lt;=8,MOD(H4467,30)&gt;2.5),1,0)*VLOOKUP(D4467,'报价表-配送'!$B$47:$I$51,6,0)+IF(AND(MOD(H4467,30)&lt;=2.5,MOD(H4467,30)&gt;=1.5),1,0)*VLOOKUP(D4467,'报价表-配送'!$B$47:$I$51,5,0)</f>
        <v>0</v>
      </c>
      <c r="M4467" s="39">
        <f>IF(AND(MOD(H4467,30)&lt;1.5,MOD(H4467,30)&gt;=0.5),H4467,0)*VLOOKUP(D4467,'报价表-配送'!$B$47:$I$51,4,0)*1000+IF(AND(MOD(H4467,30)&lt;0.5,MOD(H4467,30)&gt;=0.02),H4467,0)*VLOOKUP(D4467,'报价表-配送'!$B$47:$I$51,3,0)*1000+IF(AND(MOD(H4467,30)&lt;0.02),H4467,0)*VLOOKUP(D4467,'报价表-配送'!$B$47:$I$51,2,0)*1000</f>
        <v>0</v>
      </c>
      <c r="N4467" s="127">
        <f t="shared" ref="N4467:N4472" si="544">SUM(I4467:L4467)</f>
        <v>0</v>
      </c>
    </row>
    <row r="4468" spans="1:14" x14ac:dyDescent="0.25">
      <c r="A4468" s="121" t="s">
        <v>103</v>
      </c>
      <c r="B4468" s="121" t="s">
        <v>180</v>
      </c>
      <c r="C4468" s="62">
        <f>VLOOKUP(B4468,合并仓明细!$D$2:$F$74,3,0)</f>
        <v>170</v>
      </c>
      <c r="D4468" s="122" t="s">
        <v>413</v>
      </c>
      <c r="E4468" s="123">
        <v>46009</v>
      </c>
      <c r="F4468" s="121" t="s">
        <v>66</v>
      </c>
      <c r="G4468" s="121">
        <v>25.75</v>
      </c>
      <c r="H4468" s="124">
        <v>2.5749999999999999E-2</v>
      </c>
      <c r="I4468" s="125"/>
      <c r="J4468" s="125"/>
      <c r="K4468" s="125"/>
      <c r="L4468" s="37">
        <f>IF(H4468&gt;30,QUOTIENT(H4468,30)*VLOOKUP(D4468,'报价表-配送'!$B$47:$I$51,8,0),0)+IF(AND(MOD(H4468,30)&gt;18,MOD(H4468,30)&lt;=30),1,0)*VLOOKUP(D4468,'报价表-配送'!$B$47:$I$51,8,0)+IF(AND(MOD(H4468,30)&gt;8,MOD(H4468,30)&lt;=18),1*VLOOKUP(D4468,'报价表-配送'!$B$47:$I$51,7,0),0)+IF(AND(MOD(H4468,30)&lt;=8,MOD(H4468,30)&gt;2.5),1,0)*VLOOKUP(D4468,'报价表-配送'!$B$47:$I$51,6,0)+IF(AND(MOD(H4468,30)&lt;=2.5,MOD(H4468,30)&gt;=1.5),1,0)*VLOOKUP(D4468,'报价表-配送'!$B$47:$I$51,5,0)</f>
        <v>0</v>
      </c>
      <c r="M4468" s="39">
        <f>IF(AND(MOD(H4468,30)&lt;1.5,MOD(H4468,30)&gt;=0.5),H4468,0)*VLOOKUP(D4468,'报价表-配送'!$B$47:$I$51,4,0)*1000+IF(AND(MOD(H4468,30)&lt;0.5,MOD(H4468,30)&gt;=0.02),H4468,0)*VLOOKUP(D4468,'报价表-配送'!$B$47:$I$51,3,0)*1000+IF(AND(MOD(H4468,30)&lt;0.02),H4468,0)*VLOOKUP(D4468,'报价表-配送'!$B$47:$I$51,2,0)*1000</f>
        <v>0</v>
      </c>
      <c r="N4468" s="127">
        <f t="shared" si="544"/>
        <v>0</v>
      </c>
    </row>
    <row r="4469" spans="1:14" x14ac:dyDescent="0.25">
      <c r="A4469" s="121" t="s">
        <v>103</v>
      </c>
      <c r="B4469" s="121" t="s">
        <v>180</v>
      </c>
      <c r="C4469" s="62">
        <f>VLOOKUP(B4469,合并仓明细!$D$2:$F$74,3,0)</f>
        <v>170</v>
      </c>
      <c r="D4469" s="122" t="s">
        <v>413</v>
      </c>
      <c r="E4469" s="123">
        <v>46014</v>
      </c>
      <c r="F4469" s="121" t="s">
        <v>66</v>
      </c>
      <c r="G4469" s="121">
        <v>154.24</v>
      </c>
      <c r="H4469" s="124">
        <v>0.15424000000000002</v>
      </c>
      <c r="I4469" s="125"/>
      <c r="J4469" s="125"/>
      <c r="K4469" s="125"/>
      <c r="L4469" s="37">
        <f>IF(H4469&gt;30,QUOTIENT(H4469,30)*VLOOKUP(D4469,'报价表-配送'!$B$47:$I$51,8,0),0)+IF(AND(MOD(H4469,30)&gt;18,MOD(H4469,30)&lt;=30),1,0)*VLOOKUP(D4469,'报价表-配送'!$B$47:$I$51,8,0)+IF(AND(MOD(H4469,30)&gt;8,MOD(H4469,30)&lt;=18),1*VLOOKUP(D4469,'报价表-配送'!$B$47:$I$51,7,0),0)+IF(AND(MOD(H4469,30)&lt;=8,MOD(H4469,30)&gt;2.5),1,0)*VLOOKUP(D4469,'报价表-配送'!$B$47:$I$51,6,0)+IF(AND(MOD(H4469,30)&lt;=2.5,MOD(H4469,30)&gt;=1.5),1,0)*VLOOKUP(D4469,'报价表-配送'!$B$47:$I$51,5,0)</f>
        <v>0</v>
      </c>
      <c r="M4469" s="39">
        <f>IF(AND(MOD(H4469,30)&lt;1.5,MOD(H4469,30)&gt;=0.5),H4469,0)*VLOOKUP(D4469,'报价表-配送'!$B$47:$I$51,4,0)*1000+IF(AND(MOD(H4469,30)&lt;0.5,MOD(H4469,30)&gt;=0.02),H4469,0)*VLOOKUP(D4469,'报价表-配送'!$B$47:$I$51,3,0)*1000+IF(AND(MOD(H4469,30)&lt;0.02),H4469,0)*VLOOKUP(D4469,'报价表-配送'!$B$47:$I$51,2,0)*1000</f>
        <v>0</v>
      </c>
      <c r="N4469" s="127">
        <f t="shared" si="544"/>
        <v>0</v>
      </c>
    </row>
    <row r="4470" spans="1:14" x14ac:dyDescent="0.25">
      <c r="A4470" s="121" t="s">
        <v>103</v>
      </c>
      <c r="B4470" s="121" t="s">
        <v>180</v>
      </c>
      <c r="C4470" s="62">
        <f>VLOOKUP(B4470,合并仓明细!$D$2:$F$74,3,0)</f>
        <v>170</v>
      </c>
      <c r="D4470" s="122" t="s">
        <v>413</v>
      </c>
      <c r="E4470" s="123">
        <v>46015</v>
      </c>
      <c r="F4470" s="121" t="s">
        <v>66</v>
      </c>
      <c r="G4470" s="121">
        <v>79</v>
      </c>
      <c r="H4470" s="124">
        <v>7.9000000000000001E-2</v>
      </c>
      <c r="I4470" s="125"/>
      <c r="J4470" s="125"/>
      <c r="K4470" s="125"/>
      <c r="L4470" s="37">
        <f>IF(H4470&gt;30,QUOTIENT(H4470,30)*VLOOKUP(D4470,'报价表-配送'!$B$47:$I$51,8,0),0)+IF(AND(MOD(H4470,30)&gt;18,MOD(H4470,30)&lt;=30),1,0)*VLOOKUP(D4470,'报价表-配送'!$B$47:$I$51,8,0)+IF(AND(MOD(H4470,30)&gt;8,MOD(H4470,30)&lt;=18),1*VLOOKUP(D4470,'报价表-配送'!$B$47:$I$51,7,0),0)+IF(AND(MOD(H4470,30)&lt;=8,MOD(H4470,30)&gt;2.5),1,0)*VLOOKUP(D4470,'报价表-配送'!$B$47:$I$51,6,0)+IF(AND(MOD(H4470,30)&lt;=2.5,MOD(H4470,30)&gt;=1.5),1,0)*VLOOKUP(D4470,'报价表-配送'!$B$47:$I$51,5,0)</f>
        <v>0</v>
      </c>
      <c r="M4470" s="39">
        <f>IF(AND(MOD(H4470,30)&lt;1.5,MOD(H4470,30)&gt;=0.5),H4470,0)*VLOOKUP(D4470,'报价表-配送'!$B$47:$I$51,4,0)*1000+IF(AND(MOD(H4470,30)&lt;0.5,MOD(H4470,30)&gt;=0.02),H4470,0)*VLOOKUP(D4470,'报价表-配送'!$B$47:$I$51,3,0)*1000+IF(AND(MOD(H4470,30)&lt;0.02),H4470,0)*VLOOKUP(D4470,'报价表-配送'!$B$47:$I$51,2,0)*1000</f>
        <v>0</v>
      </c>
      <c r="N4470" s="127">
        <f t="shared" si="544"/>
        <v>0</v>
      </c>
    </row>
    <row r="4471" spans="1:14" x14ac:dyDescent="0.25">
      <c r="A4471" s="121" t="s">
        <v>103</v>
      </c>
      <c r="B4471" s="121" t="s">
        <v>180</v>
      </c>
      <c r="C4471" s="62">
        <f>VLOOKUP(B4471,合并仓明细!$D$2:$F$74,3,0)</f>
        <v>170</v>
      </c>
      <c r="D4471" s="122" t="s">
        <v>413</v>
      </c>
      <c r="E4471" s="123">
        <v>46016</v>
      </c>
      <c r="F4471" s="121" t="s">
        <v>66</v>
      </c>
      <c r="G4471" s="121">
        <v>868.83000000000015</v>
      </c>
      <c r="H4471" s="124">
        <v>0.8688300000000001</v>
      </c>
      <c r="I4471" s="125"/>
      <c r="J4471" s="125"/>
      <c r="K4471" s="125"/>
      <c r="L4471" s="37">
        <f>IF(H4471&gt;30,QUOTIENT(H4471,30)*VLOOKUP(D4471,'报价表-配送'!$B$47:$I$51,8,0),0)+IF(AND(MOD(H4471,30)&gt;18,MOD(H4471,30)&lt;=30),1,0)*VLOOKUP(D4471,'报价表-配送'!$B$47:$I$51,8,0)+IF(AND(MOD(H4471,30)&gt;8,MOD(H4471,30)&lt;=18),1*VLOOKUP(D4471,'报价表-配送'!$B$47:$I$51,7,0),0)+IF(AND(MOD(H4471,30)&lt;=8,MOD(H4471,30)&gt;2.5),1,0)*VLOOKUP(D4471,'报价表-配送'!$B$47:$I$51,6,0)+IF(AND(MOD(H4471,30)&lt;=2.5,MOD(H4471,30)&gt;=1.5),1,0)*VLOOKUP(D4471,'报价表-配送'!$B$47:$I$51,5,0)</f>
        <v>0</v>
      </c>
      <c r="M4471" s="39">
        <f>IF(AND(MOD(H4471,30)&lt;1.5,MOD(H4471,30)&gt;=0.5),H4471,0)*VLOOKUP(D4471,'报价表-配送'!$B$47:$I$51,4,0)*1000+IF(AND(MOD(H4471,30)&lt;0.5,MOD(H4471,30)&gt;=0.02),H4471,0)*VLOOKUP(D4471,'报价表-配送'!$B$47:$I$51,3,0)*1000+IF(AND(MOD(H4471,30)&lt;0.02),H4471,0)*VLOOKUP(D4471,'报价表-配送'!$B$47:$I$51,2,0)*1000</f>
        <v>0</v>
      </c>
      <c r="N4471" s="127">
        <f t="shared" si="544"/>
        <v>0</v>
      </c>
    </row>
    <row r="4472" spans="1:14" x14ac:dyDescent="0.25">
      <c r="A4472" s="121" t="s">
        <v>103</v>
      </c>
      <c r="B4472" s="121" t="s">
        <v>180</v>
      </c>
      <c r="C4472" s="62">
        <f>VLOOKUP(B4472,合并仓明细!$D$2:$F$74,3,0)</f>
        <v>170</v>
      </c>
      <c r="D4472" s="122" t="s">
        <v>413</v>
      </c>
      <c r="E4472" s="123">
        <v>46017</v>
      </c>
      <c r="F4472" s="121" t="s">
        <v>68</v>
      </c>
      <c r="G4472" s="121">
        <v>761.26</v>
      </c>
      <c r="H4472" s="124">
        <v>1.0284500000000001</v>
      </c>
      <c r="I4472" s="46">
        <f>ROUNDUP(H4472/30,0)*VLOOKUP(D4472,'报价表-配送'!$B$47:$I$51,8,0)</f>
        <v>0</v>
      </c>
      <c r="J4472" s="125"/>
      <c r="K4472" s="125"/>
      <c r="L4472" s="121"/>
      <c r="M4472" s="126"/>
      <c r="N4472" s="127">
        <f t="shared" si="544"/>
        <v>0</v>
      </c>
    </row>
    <row r="4473" spans="1:14" x14ac:dyDescent="0.25">
      <c r="A4473" s="121" t="s">
        <v>103</v>
      </c>
      <c r="B4473" s="121" t="s">
        <v>180</v>
      </c>
      <c r="C4473" s="62">
        <f>VLOOKUP(B4473,合并仓明细!$D$2:$F$74,3,0)</f>
        <v>170</v>
      </c>
      <c r="D4473" s="122" t="s">
        <v>413</v>
      </c>
      <c r="E4473" s="123">
        <v>46017</v>
      </c>
      <c r="F4473" s="121" t="s">
        <v>66</v>
      </c>
      <c r="G4473" s="121">
        <v>267.19</v>
      </c>
      <c r="H4473" s="124"/>
      <c r="I4473" s="125"/>
      <c r="J4473" s="125"/>
      <c r="K4473" s="125"/>
      <c r="L4473" s="121"/>
      <c r="M4473" s="126"/>
      <c r="N4473" s="121"/>
    </row>
    <row r="4474" spans="1:14" x14ac:dyDescent="0.25">
      <c r="A4474" s="121" t="s">
        <v>103</v>
      </c>
      <c r="B4474" s="121" t="s">
        <v>180</v>
      </c>
      <c r="C4474" s="62">
        <f>VLOOKUP(B4474,合并仓明细!$D$2:$F$74,3,0)</f>
        <v>170</v>
      </c>
      <c r="D4474" s="122" t="s">
        <v>413</v>
      </c>
      <c r="E4474" s="123">
        <v>46028</v>
      </c>
      <c r="F4474" s="121" t="s">
        <v>68</v>
      </c>
      <c r="G4474" s="121">
        <v>2531.67</v>
      </c>
      <c r="H4474" s="124">
        <v>13.431760000000001</v>
      </c>
      <c r="I4474" s="46">
        <f>ROUNDUP(H4474/30,0)*VLOOKUP(D4474,'报价表-配送'!$B$47:$I$51,8,0)</f>
        <v>0</v>
      </c>
      <c r="J4474" s="125"/>
      <c r="K4474" s="125"/>
      <c r="L4474" s="121"/>
      <c r="M4474" s="126"/>
      <c r="N4474" s="127">
        <f t="shared" ref="N4474" si="545">SUM(I4474:L4474)</f>
        <v>0</v>
      </c>
    </row>
    <row r="4475" spans="1:14" x14ac:dyDescent="0.25">
      <c r="A4475" s="121" t="s">
        <v>103</v>
      </c>
      <c r="B4475" s="121" t="s">
        <v>180</v>
      </c>
      <c r="C4475" s="62">
        <f>VLOOKUP(B4475,合并仓明细!$D$2:$F$74,3,0)</f>
        <v>170</v>
      </c>
      <c r="D4475" s="122" t="s">
        <v>413</v>
      </c>
      <c r="E4475" s="123">
        <v>46028</v>
      </c>
      <c r="F4475" s="121" t="s">
        <v>67</v>
      </c>
      <c r="G4475" s="121">
        <v>10602.52</v>
      </c>
      <c r="H4475" s="124"/>
      <c r="I4475" s="125"/>
      <c r="J4475" s="125"/>
      <c r="K4475" s="125"/>
      <c r="L4475" s="121"/>
      <c r="M4475" s="126"/>
      <c r="N4475" s="121"/>
    </row>
    <row r="4476" spans="1:14" x14ac:dyDescent="0.25">
      <c r="A4476" s="121" t="s">
        <v>103</v>
      </c>
      <c r="B4476" s="121" t="s">
        <v>180</v>
      </c>
      <c r="C4476" s="62">
        <f>VLOOKUP(B4476,合并仓明细!$D$2:$F$74,3,0)</f>
        <v>170</v>
      </c>
      <c r="D4476" s="122" t="s">
        <v>413</v>
      </c>
      <c r="E4476" s="123">
        <v>46028</v>
      </c>
      <c r="F4476" s="121" t="s">
        <v>66</v>
      </c>
      <c r="G4476" s="121">
        <v>297.57</v>
      </c>
      <c r="H4476" s="124"/>
      <c r="I4476" s="125"/>
      <c r="J4476" s="125"/>
      <c r="K4476" s="125"/>
      <c r="L4476" s="121"/>
      <c r="M4476" s="126"/>
      <c r="N4476" s="121"/>
    </row>
    <row r="4477" spans="1:14" x14ac:dyDescent="0.25">
      <c r="A4477" s="121" t="s">
        <v>103</v>
      </c>
      <c r="B4477" s="121" t="s">
        <v>180</v>
      </c>
      <c r="C4477" s="62">
        <f>VLOOKUP(B4477,合并仓明细!$D$2:$F$74,3,0)</f>
        <v>170</v>
      </c>
      <c r="D4477" s="122" t="s">
        <v>413</v>
      </c>
      <c r="E4477" s="123">
        <v>46029</v>
      </c>
      <c r="F4477" s="121" t="s">
        <v>66</v>
      </c>
      <c r="G4477" s="121">
        <v>1947.8899999999999</v>
      </c>
      <c r="H4477" s="124">
        <v>1.9478899999999999</v>
      </c>
      <c r="I4477" s="125"/>
      <c r="J4477" s="125"/>
      <c r="K4477" s="125"/>
      <c r="L4477" s="37">
        <f>IF(H4477&gt;30,QUOTIENT(H4477,30)*VLOOKUP(D4477,'报价表-配送'!$B$47:$I$51,8,0),0)+IF(AND(MOD(H4477,30)&gt;18,MOD(H4477,30)&lt;=30),1,0)*VLOOKUP(D4477,'报价表-配送'!$B$47:$I$51,8,0)+IF(AND(MOD(H4477,30)&gt;8,MOD(H4477,30)&lt;=18),1*VLOOKUP(D4477,'报价表-配送'!$B$47:$I$51,7,0),0)+IF(AND(MOD(H4477,30)&lt;=8,MOD(H4477,30)&gt;2.5),1,0)*VLOOKUP(D4477,'报价表-配送'!$B$47:$I$51,6,0)+IF(AND(MOD(H4477,30)&lt;=2.5,MOD(H4477,30)&gt;=1.5),1,0)*VLOOKUP(D4477,'报价表-配送'!$B$47:$I$51,5,0)</f>
        <v>0</v>
      </c>
      <c r="M4477" s="39">
        <f>IF(AND(MOD(H4477,30)&lt;1.5,MOD(H4477,30)&gt;=0.5),H4477,0)*VLOOKUP(D4477,'报价表-配送'!$B$47:$I$51,4,0)*1000+IF(AND(MOD(H4477,30)&lt;0.5,MOD(H4477,30)&gt;=0.02),H4477,0)*VLOOKUP(D4477,'报价表-配送'!$B$47:$I$51,3,0)*1000+IF(AND(MOD(H4477,30)&lt;0.02),H4477,0)*VLOOKUP(D4477,'报价表-配送'!$B$47:$I$51,2,0)*1000</f>
        <v>0</v>
      </c>
      <c r="N4477" s="127">
        <f t="shared" ref="N4477:N4480" si="546">SUM(I4477:L4477)</f>
        <v>0</v>
      </c>
    </row>
    <row r="4478" spans="1:14" x14ac:dyDescent="0.25">
      <c r="A4478" s="121" t="s">
        <v>103</v>
      </c>
      <c r="B4478" s="121" t="s">
        <v>180</v>
      </c>
      <c r="C4478" s="62">
        <f>VLOOKUP(B4478,合并仓明细!$D$2:$F$74,3,0)</f>
        <v>170</v>
      </c>
      <c r="D4478" s="122" t="s">
        <v>413</v>
      </c>
      <c r="E4478" s="123">
        <v>46030</v>
      </c>
      <c r="F4478" s="121" t="s">
        <v>66</v>
      </c>
      <c r="G4478" s="121">
        <v>1301.4000000000001</v>
      </c>
      <c r="H4478" s="124">
        <v>1.3014000000000001</v>
      </c>
      <c r="I4478" s="125"/>
      <c r="J4478" s="125"/>
      <c r="K4478" s="125"/>
      <c r="L4478" s="37">
        <f>IF(H4478&gt;30,QUOTIENT(H4478,30)*VLOOKUP(D4478,'报价表-配送'!$B$47:$I$51,8,0),0)+IF(AND(MOD(H4478,30)&gt;18,MOD(H4478,30)&lt;=30),1,0)*VLOOKUP(D4478,'报价表-配送'!$B$47:$I$51,8,0)+IF(AND(MOD(H4478,30)&gt;8,MOD(H4478,30)&lt;=18),1*VLOOKUP(D4478,'报价表-配送'!$B$47:$I$51,7,0),0)+IF(AND(MOD(H4478,30)&lt;=8,MOD(H4478,30)&gt;2.5),1,0)*VLOOKUP(D4478,'报价表-配送'!$B$47:$I$51,6,0)+IF(AND(MOD(H4478,30)&lt;=2.5,MOD(H4478,30)&gt;=1.5),1,0)*VLOOKUP(D4478,'报价表-配送'!$B$47:$I$51,5,0)</f>
        <v>0</v>
      </c>
      <c r="M4478" s="39">
        <f>IF(AND(MOD(H4478,30)&lt;1.5,MOD(H4478,30)&gt;=0.5),H4478,0)*VLOOKUP(D4478,'报价表-配送'!$B$47:$I$51,4,0)*1000+IF(AND(MOD(H4478,30)&lt;0.5,MOD(H4478,30)&gt;=0.02),H4478,0)*VLOOKUP(D4478,'报价表-配送'!$B$47:$I$51,3,0)*1000+IF(AND(MOD(H4478,30)&lt;0.02),H4478,0)*VLOOKUP(D4478,'报价表-配送'!$B$47:$I$51,2,0)*1000</f>
        <v>0</v>
      </c>
      <c r="N4478" s="127">
        <f t="shared" si="546"/>
        <v>0</v>
      </c>
    </row>
    <row r="4479" spans="1:14" x14ac:dyDescent="0.25">
      <c r="A4479" s="121" t="s">
        <v>103</v>
      </c>
      <c r="B4479" s="121" t="s">
        <v>180</v>
      </c>
      <c r="C4479" s="62">
        <f>VLOOKUP(B4479,合并仓明细!$D$2:$F$74,3,0)</f>
        <v>170</v>
      </c>
      <c r="D4479" s="122" t="s">
        <v>413</v>
      </c>
      <c r="E4479" s="123">
        <v>46031</v>
      </c>
      <c r="F4479" s="121" t="s">
        <v>66</v>
      </c>
      <c r="G4479" s="121">
        <v>52.06</v>
      </c>
      <c r="H4479" s="124">
        <v>5.2060000000000002E-2</v>
      </c>
      <c r="I4479" s="125"/>
      <c r="J4479" s="125"/>
      <c r="K4479" s="125"/>
      <c r="L4479" s="37">
        <f>IF(H4479&gt;30,QUOTIENT(H4479,30)*VLOOKUP(D4479,'报价表-配送'!$B$47:$I$51,8,0),0)+IF(AND(MOD(H4479,30)&gt;18,MOD(H4479,30)&lt;=30),1,0)*VLOOKUP(D4479,'报价表-配送'!$B$47:$I$51,8,0)+IF(AND(MOD(H4479,30)&gt;8,MOD(H4479,30)&lt;=18),1*VLOOKUP(D4479,'报价表-配送'!$B$47:$I$51,7,0),0)+IF(AND(MOD(H4479,30)&lt;=8,MOD(H4479,30)&gt;2.5),1,0)*VLOOKUP(D4479,'报价表-配送'!$B$47:$I$51,6,0)+IF(AND(MOD(H4479,30)&lt;=2.5,MOD(H4479,30)&gt;=1.5),1,0)*VLOOKUP(D4479,'报价表-配送'!$B$47:$I$51,5,0)</f>
        <v>0</v>
      </c>
      <c r="M4479" s="39">
        <f>IF(AND(MOD(H4479,30)&lt;1.5,MOD(H4479,30)&gt;=0.5),H4479,0)*VLOOKUP(D4479,'报价表-配送'!$B$47:$I$51,4,0)*1000+IF(AND(MOD(H4479,30)&lt;0.5,MOD(H4479,30)&gt;=0.02),H4479,0)*VLOOKUP(D4479,'报价表-配送'!$B$47:$I$51,3,0)*1000+IF(AND(MOD(H4479,30)&lt;0.02),H4479,0)*VLOOKUP(D4479,'报价表-配送'!$B$47:$I$51,2,0)*1000</f>
        <v>0</v>
      </c>
      <c r="N4479" s="127">
        <f t="shared" si="546"/>
        <v>0</v>
      </c>
    </row>
    <row r="4480" spans="1:14" x14ac:dyDescent="0.25">
      <c r="A4480" s="121" t="s">
        <v>78</v>
      </c>
      <c r="B4480" s="121" t="s">
        <v>235</v>
      </c>
      <c r="C4480" s="62">
        <f>VLOOKUP(B4480,合并仓明细!$D$2:$F$74,3,0)</f>
        <v>105</v>
      </c>
      <c r="D4480" s="122" t="s">
        <v>413</v>
      </c>
      <c r="E4480" s="123" t="s">
        <v>547</v>
      </c>
      <c r="F4480" s="121" t="s">
        <v>68</v>
      </c>
      <c r="G4480" s="121">
        <v>777.31</v>
      </c>
      <c r="H4480" s="124">
        <v>47.687559999999991</v>
      </c>
      <c r="I4480" s="59">
        <f>ROUNDUP(H4480/30,0)*VLOOKUP(D4480,'报价表-配送'!$B$68:$I$72,8,0)</f>
        <v>0</v>
      </c>
      <c r="J4480" s="125"/>
      <c r="K4480" s="125"/>
      <c r="L4480" s="121"/>
      <c r="M4480" s="126"/>
      <c r="N4480" s="127">
        <f t="shared" si="546"/>
        <v>0</v>
      </c>
    </row>
    <row r="4481" spans="1:14" x14ac:dyDescent="0.25">
      <c r="A4481" s="121" t="s">
        <v>78</v>
      </c>
      <c r="B4481" s="121" t="s">
        <v>235</v>
      </c>
      <c r="C4481" s="62">
        <f>VLOOKUP(B4481,合并仓明细!$D$2:$F$74,3,0)</f>
        <v>105</v>
      </c>
      <c r="D4481" s="122" t="s">
        <v>413</v>
      </c>
      <c r="E4481" s="123" t="s">
        <v>547</v>
      </c>
      <c r="F4481" s="121" t="s">
        <v>67</v>
      </c>
      <c r="G4481" s="121">
        <v>44836.94999999999</v>
      </c>
      <c r="H4481" s="124"/>
      <c r="I4481" s="125"/>
      <c r="J4481" s="125"/>
      <c r="K4481" s="125"/>
      <c r="L4481" s="121"/>
      <c r="M4481" s="126"/>
      <c r="N4481" s="121"/>
    </row>
    <row r="4482" spans="1:14" x14ac:dyDescent="0.25">
      <c r="A4482" s="121" t="s">
        <v>78</v>
      </c>
      <c r="B4482" s="121" t="s">
        <v>235</v>
      </c>
      <c r="C4482" s="62">
        <f>VLOOKUP(B4482,合并仓明细!$D$2:$F$74,3,0)</f>
        <v>105</v>
      </c>
      <c r="D4482" s="122" t="s">
        <v>413</v>
      </c>
      <c r="E4482" s="123" t="s">
        <v>547</v>
      </c>
      <c r="F4482" s="121" t="s">
        <v>66</v>
      </c>
      <c r="G4482" s="121">
        <v>2073.3000000000015</v>
      </c>
      <c r="H4482" s="124"/>
      <c r="I4482" s="125"/>
      <c r="J4482" s="125"/>
      <c r="K4482" s="125"/>
      <c r="L4482" s="121"/>
      <c r="M4482" s="126"/>
      <c r="N4482" s="121"/>
    </row>
    <row r="4483" spans="1:14" x14ac:dyDescent="0.25">
      <c r="A4483" s="121" t="s">
        <v>78</v>
      </c>
      <c r="B4483" s="121" t="s">
        <v>235</v>
      </c>
      <c r="C4483" s="62">
        <f>VLOOKUP(B4483,合并仓明细!$D$2:$F$74,3,0)</f>
        <v>105</v>
      </c>
      <c r="D4483" s="122" t="s">
        <v>413</v>
      </c>
      <c r="E4483" s="123" t="s">
        <v>548</v>
      </c>
      <c r="F4483" s="121" t="s">
        <v>68</v>
      </c>
      <c r="G4483" s="121">
        <v>233.27999999999997</v>
      </c>
      <c r="H4483" s="124">
        <v>1.1693800000000001</v>
      </c>
      <c r="I4483" s="59">
        <f>ROUNDUP(H4483/30,0)*VLOOKUP(D4483,'报价表-配送'!$B$68:$I$72,8,0)</f>
        <v>0</v>
      </c>
      <c r="J4483" s="125"/>
      <c r="K4483" s="125"/>
      <c r="L4483" s="121"/>
      <c r="M4483" s="126"/>
      <c r="N4483" s="127">
        <f t="shared" ref="N4483" si="547">SUM(I4483:L4483)</f>
        <v>0</v>
      </c>
    </row>
    <row r="4484" spans="1:14" x14ac:dyDescent="0.25">
      <c r="A4484" s="121" t="s">
        <v>78</v>
      </c>
      <c r="B4484" s="121" t="s">
        <v>235</v>
      </c>
      <c r="C4484" s="62">
        <f>VLOOKUP(B4484,合并仓明细!$D$2:$F$74,3,0)</f>
        <v>105</v>
      </c>
      <c r="D4484" s="122" t="s">
        <v>413</v>
      </c>
      <c r="E4484" s="123" t="s">
        <v>548</v>
      </c>
      <c r="F4484" s="121" t="s">
        <v>67</v>
      </c>
      <c r="G4484" s="121">
        <v>149.5</v>
      </c>
      <c r="H4484" s="124"/>
      <c r="I4484" s="125"/>
      <c r="J4484" s="125"/>
      <c r="K4484" s="125"/>
      <c r="L4484" s="121"/>
      <c r="M4484" s="126"/>
      <c r="N4484" s="121"/>
    </row>
    <row r="4485" spans="1:14" x14ac:dyDescent="0.25">
      <c r="A4485" s="121" t="s">
        <v>78</v>
      </c>
      <c r="B4485" s="121" t="s">
        <v>235</v>
      </c>
      <c r="C4485" s="62">
        <f>VLOOKUP(B4485,合并仓明细!$D$2:$F$74,3,0)</f>
        <v>105</v>
      </c>
      <c r="D4485" s="122" t="s">
        <v>413</v>
      </c>
      <c r="E4485" s="123" t="s">
        <v>548</v>
      </c>
      <c r="F4485" s="121" t="s">
        <v>66</v>
      </c>
      <c r="G4485" s="121">
        <v>786.6</v>
      </c>
      <c r="H4485" s="124"/>
      <c r="I4485" s="125"/>
      <c r="J4485" s="125"/>
      <c r="K4485" s="125"/>
      <c r="L4485" s="121"/>
      <c r="M4485" s="126"/>
      <c r="N4485" s="121"/>
    </row>
    <row r="4486" spans="1:14" x14ac:dyDescent="0.25">
      <c r="A4486" s="121" t="s">
        <v>78</v>
      </c>
      <c r="B4486" s="121" t="s">
        <v>235</v>
      </c>
      <c r="C4486" s="62">
        <f>VLOOKUP(B4486,合并仓明细!$D$2:$F$74,3,0)</f>
        <v>105</v>
      </c>
      <c r="D4486" s="122" t="s">
        <v>413</v>
      </c>
      <c r="E4486" s="123" t="s">
        <v>549</v>
      </c>
      <c r="F4486" s="121" t="s">
        <v>68</v>
      </c>
      <c r="G4486" s="121">
        <v>5408.34</v>
      </c>
      <c r="H4486" s="124">
        <v>7.7512200000000009</v>
      </c>
      <c r="I4486" s="59">
        <f>ROUNDUP(H4486/30,0)*VLOOKUP(D4486,'报价表-配送'!$B$68:$I$72,8,0)</f>
        <v>0</v>
      </c>
      <c r="J4486" s="125"/>
      <c r="K4486" s="125"/>
      <c r="L4486" s="121"/>
      <c r="M4486" s="126"/>
      <c r="N4486" s="127">
        <f t="shared" ref="N4486" si="548">SUM(I4486:L4486)</f>
        <v>0</v>
      </c>
    </row>
    <row r="4487" spans="1:14" x14ac:dyDescent="0.25">
      <c r="A4487" s="121" t="s">
        <v>78</v>
      </c>
      <c r="B4487" s="121" t="s">
        <v>235</v>
      </c>
      <c r="C4487" s="62">
        <f>VLOOKUP(B4487,合并仓明细!$D$2:$F$74,3,0)</f>
        <v>105</v>
      </c>
      <c r="D4487" s="122" t="s">
        <v>413</v>
      </c>
      <c r="E4487" s="123" t="s">
        <v>549</v>
      </c>
      <c r="F4487" s="121" t="s">
        <v>67</v>
      </c>
      <c r="G4487" s="121">
        <v>362.06</v>
      </c>
      <c r="H4487" s="124"/>
      <c r="I4487" s="125"/>
      <c r="J4487" s="125"/>
      <c r="K4487" s="125"/>
      <c r="L4487" s="121"/>
      <c r="M4487" s="126"/>
      <c r="N4487" s="121"/>
    </row>
    <row r="4488" spans="1:14" x14ac:dyDescent="0.25">
      <c r="A4488" s="121" t="s">
        <v>78</v>
      </c>
      <c r="B4488" s="121" t="s">
        <v>235</v>
      </c>
      <c r="C4488" s="62">
        <f>VLOOKUP(B4488,合并仓明细!$D$2:$F$74,3,0)</f>
        <v>105</v>
      </c>
      <c r="D4488" s="122" t="s">
        <v>413</v>
      </c>
      <c r="E4488" s="123" t="s">
        <v>549</v>
      </c>
      <c r="F4488" s="121" t="s">
        <v>66</v>
      </c>
      <c r="G4488" s="121">
        <v>1980.8200000000002</v>
      </c>
      <c r="H4488" s="124"/>
      <c r="I4488" s="125"/>
      <c r="J4488" s="125"/>
      <c r="K4488" s="125"/>
      <c r="L4488" s="121"/>
      <c r="M4488" s="126"/>
      <c r="N4488" s="121"/>
    </row>
    <row r="4489" spans="1:14" x14ac:dyDescent="0.25">
      <c r="A4489" s="121" t="s">
        <v>78</v>
      </c>
      <c r="B4489" s="121" t="s">
        <v>235</v>
      </c>
      <c r="C4489" s="62">
        <f>VLOOKUP(B4489,合并仓明细!$D$2:$F$74,3,0)</f>
        <v>105</v>
      </c>
      <c r="D4489" s="122" t="s">
        <v>413</v>
      </c>
      <c r="E4489" s="123" t="s">
        <v>550</v>
      </c>
      <c r="F4489" s="121" t="s">
        <v>68</v>
      </c>
      <c r="G4489" s="121">
        <v>153.26</v>
      </c>
      <c r="H4489" s="124">
        <v>37.941839999999999</v>
      </c>
      <c r="I4489" s="59">
        <f>ROUNDUP(H4489/30,0)*VLOOKUP(D4489,'报价表-配送'!$B$68:$I$72,8,0)</f>
        <v>0</v>
      </c>
      <c r="J4489" s="125"/>
      <c r="K4489" s="125"/>
      <c r="L4489" s="121"/>
      <c r="M4489" s="126"/>
      <c r="N4489" s="127">
        <f t="shared" ref="N4489" si="549">SUM(I4489:L4489)</f>
        <v>0</v>
      </c>
    </row>
    <row r="4490" spans="1:14" x14ac:dyDescent="0.25">
      <c r="A4490" s="121" t="s">
        <v>78</v>
      </c>
      <c r="B4490" s="121" t="s">
        <v>235</v>
      </c>
      <c r="C4490" s="62">
        <f>VLOOKUP(B4490,合并仓明细!$D$2:$F$74,3,0)</f>
        <v>105</v>
      </c>
      <c r="D4490" s="122" t="s">
        <v>413</v>
      </c>
      <c r="E4490" s="123" t="s">
        <v>550</v>
      </c>
      <c r="F4490" s="121" t="s">
        <v>67</v>
      </c>
      <c r="G4490" s="121">
        <v>35933.519999999997</v>
      </c>
      <c r="H4490" s="124"/>
      <c r="I4490" s="125"/>
      <c r="J4490" s="125"/>
      <c r="K4490" s="125"/>
      <c r="L4490" s="121"/>
      <c r="M4490" s="126"/>
      <c r="N4490" s="121"/>
    </row>
    <row r="4491" spans="1:14" x14ac:dyDescent="0.25">
      <c r="A4491" s="121" t="s">
        <v>78</v>
      </c>
      <c r="B4491" s="121" t="s">
        <v>235</v>
      </c>
      <c r="C4491" s="62">
        <f>VLOOKUP(B4491,合并仓明细!$D$2:$F$74,3,0)</f>
        <v>105</v>
      </c>
      <c r="D4491" s="122" t="s">
        <v>413</v>
      </c>
      <c r="E4491" s="123" t="s">
        <v>550</v>
      </c>
      <c r="F4491" s="121" t="s">
        <v>66</v>
      </c>
      <c r="G4491" s="121">
        <v>1855.0600000000006</v>
      </c>
      <c r="H4491" s="124"/>
      <c r="I4491" s="125"/>
      <c r="J4491" s="125"/>
      <c r="K4491" s="125"/>
      <c r="L4491" s="121"/>
      <c r="M4491" s="126"/>
      <c r="N4491" s="121"/>
    </row>
    <row r="4492" spans="1:14" x14ac:dyDescent="0.25">
      <c r="A4492" s="121" t="s">
        <v>78</v>
      </c>
      <c r="B4492" s="121" t="s">
        <v>235</v>
      </c>
      <c r="C4492" s="62">
        <f>VLOOKUP(B4492,合并仓明细!$D$2:$F$74,3,0)</f>
        <v>105</v>
      </c>
      <c r="D4492" s="122" t="s">
        <v>413</v>
      </c>
      <c r="E4492" s="123" t="s">
        <v>551</v>
      </c>
      <c r="F4492" s="121" t="s">
        <v>68</v>
      </c>
      <c r="G4492" s="121">
        <v>46292.899999999994</v>
      </c>
      <c r="H4492" s="124">
        <v>49.029069999999997</v>
      </c>
      <c r="I4492" s="59">
        <f>ROUNDUP(H4492/30,0)*VLOOKUP(D4492,'报价表-配送'!$B$68:$I$72,8,0)</f>
        <v>0</v>
      </c>
      <c r="J4492" s="125"/>
      <c r="K4492" s="125"/>
      <c r="L4492" s="121"/>
      <c r="M4492" s="126"/>
      <c r="N4492" s="127">
        <f t="shared" ref="N4492" si="550">SUM(I4492:L4492)</f>
        <v>0</v>
      </c>
    </row>
    <row r="4493" spans="1:14" x14ac:dyDescent="0.25">
      <c r="A4493" s="121" t="s">
        <v>78</v>
      </c>
      <c r="B4493" s="121" t="s">
        <v>235</v>
      </c>
      <c r="C4493" s="62">
        <f>VLOOKUP(B4493,合并仓明细!$D$2:$F$74,3,0)</f>
        <v>105</v>
      </c>
      <c r="D4493" s="122" t="s">
        <v>413</v>
      </c>
      <c r="E4493" s="123" t="s">
        <v>551</v>
      </c>
      <c r="F4493" s="121" t="s">
        <v>67</v>
      </c>
      <c r="G4493" s="121">
        <v>186.3</v>
      </c>
      <c r="H4493" s="124"/>
      <c r="I4493" s="125"/>
      <c r="J4493" s="125"/>
      <c r="K4493" s="125"/>
      <c r="L4493" s="121"/>
      <c r="M4493" s="126"/>
      <c r="N4493" s="121"/>
    </row>
    <row r="4494" spans="1:14" x14ac:dyDescent="0.25">
      <c r="A4494" s="121" t="s">
        <v>78</v>
      </c>
      <c r="B4494" s="121" t="s">
        <v>235</v>
      </c>
      <c r="C4494" s="62">
        <f>VLOOKUP(B4494,合并仓明细!$D$2:$F$74,3,0)</f>
        <v>105</v>
      </c>
      <c r="D4494" s="122" t="s">
        <v>413</v>
      </c>
      <c r="E4494" s="123" t="s">
        <v>551</v>
      </c>
      <c r="F4494" s="121" t="s">
        <v>66</v>
      </c>
      <c r="G4494" s="121">
        <v>2549.8700000000003</v>
      </c>
      <c r="H4494" s="124"/>
      <c r="I4494" s="125"/>
      <c r="J4494" s="125"/>
      <c r="K4494" s="125"/>
      <c r="L4494" s="121"/>
      <c r="M4494" s="126"/>
      <c r="N4494" s="121"/>
    </row>
    <row r="4495" spans="1:14" x14ac:dyDescent="0.25">
      <c r="A4495" s="121" t="s">
        <v>78</v>
      </c>
      <c r="B4495" s="121" t="s">
        <v>235</v>
      </c>
      <c r="C4495" s="62">
        <f>VLOOKUP(B4495,合并仓明细!$D$2:$F$74,3,0)</f>
        <v>105</v>
      </c>
      <c r="D4495" s="122" t="s">
        <v>413</v>
      </c>
      <c r="E4495" s="123" t="s">
        <v>552</v>
      </c>
      <c r="F4495" s="121" t="s">
        <v>68</v>
      </c>
      <c r="G4495" s="121">
        <v>46697.599999999999</v>
      </c>
      <c r="H4495" s="124">
        <v>47.633789999999991</v>
      </c>
      <c r="I4495" s="59">
        <f>ROUNDUP(H4495/30,0)*VLOOKUP(D4495,'报价表-配送'!$B$68:$I$72,8,0)</f>
        <v>0</v>
      </c>
      <c r="J4495" s="125"/>
      <c r="K4495" s="125"/>
      <c r="L4495" s="121"/>
      <c r="M4495" s="126"/>
      <c r="N4495" s="127">
        <f t="shared" ref="N4495" si="551">SUM(I4495:L4495)</f>
        <v>0</v>
      </c>
    </row>
    <row r="4496" spans="1:14" x14ac:dyDescent="0.25">
      <c r="A4496" s="121" t="s">
        <v>78</v>
      </c>
      <c r="B4496" s="121" t="s">
        <v>235</v>
      </c>
      <c r="C4496" s="62">
        <f>VLOOKUP(B4496,合并仓明细!$D$2:$F$74,3,0)</f>
        <v>105</v>
      </c>
      <c r="D4496" s="122" t="s">
        <v>413</v>
      </c>
      <c r="E4496" s="123" t="s">
        <v>552</v>
      </c>
      <c r="F4496" s="121" t="s">
        <v>67</v>
      </c>
      <c r="G4496" s="121">
        <v>487.2</v>
      </c>
      <c r="H4496" s="124"/>
      <c r="I4496" s="125"/>
      <c r="J4496" s="125"/>
      <c r="K4496" s="125"/>
      <c r="L4496" s="121"/>
      <c r="M4496" s="126"/>
      <c r="N4496" s="121"/>
    </row>
    <row r="4497" spans="1:14" x14ac:dyDescent="0.25">
      <c r="A4497" s="121" t="s">
        <v>78</v>
      </c>
      <c r="B4497" s="121" t="s">
        <v>235</v>
      </c>
      <c r="C4497" s="62">
        <f>VLOOKUP(B4497,合并仓明细!$D$2:$F$74,3,0)</f>
        <v>105</v>
      </c>
      <c r="D4497" s="122" t="s">
        <v>413</v>
      </c>
      <c r="E4497" s="123" t="s">
        <v>552</v>
      </c>
      <c r="F4497" s="121" t="s">
        <v>66</v>
      </c>
      <c r="G4497" s="121">
        <v>448.99000000000018</v>
      </c>
      <c r="H4497" s="124"/>
      <c r="I4497" s="125"/>
      <c r="J4497" s="125"/>
      <c r="K4497" s="125"/>
      <c r="L4497" s="121"/>
      <c r="M4497" s="126"/>
      <c r="N4497" s="121"/>
    </row>
    <row r="4498" spans="1:14" x14ac:dyDescent="0.25">
      <c r="A4498" s="121" t="s">
        <v>78</v>
      </c>
      <c r="B4498" s="121" t="s">
        <v>235</v>
      </c>
      <c r="C4498" s="62">
        <f>VLOOKUP(B4498,合并仓明细!$D$2:$F$74,3,0)</f>
        <v>105</v>
      </c>
      <c r="D4498" s="122" t="s">
        <v>413</v>
      </c>
      <c r="E4498" s="123" t="s">
        <v>553</v>
      </c>
      <c r="F4498" s="121" t="s">
        <v>68</v>
      </c>
      <c r="G4498" s="121">
        <v>18969.689999999999</v>
      </c>
      <c r="H4498" s="124">
        <v>21.582829999999998</v>
      </c>
      <c r="I4498" s="59">
        <f>ROUNDUP(H4498/30,0)*VLOOKUP(D4498,'报价表-配送'!$B$68:$I$72,8,0)</f>
        <v>0</v>
      </c>
      <c r="J4498" s="125"/>
      <c r="K4498" s="125"/>
      <c r="L4498" s="121"/>
      <c r="M4498" s="126"/>
      <c r="N4498" s="127">
        <f t="shared" ref="N4498" si="552">SUM(I4498:L4498)</f>
        <v>0</v>
      </c>
    </row>
    <row r="4499" spans="1:14" x14ac:dyDescent="0.25">
      <c r="A4499" s="121" t="s">
        <v>78</v>
      </c>
      <c r="B4499" s="121" t="s">
        <v>235</v>
      </c>
      <c r="C4499" s="62">
        <f>VLOOKUP(B4499,合并仓明细!$D$2:$F$74,3,0)</f>
        <v>105</v>
      </c>
      <c r="D4499" s="122" t="s">
        <v>413</v>
      </c>
      <c r="E4499" s="123" t="s">
        <v>553</v>
      </c>
      <c r="F4499" s="121" t="s">
        <v>67</v>
      </c>
      <c r="G4499" s="121">
        <v>410.37</v>
      </c>
      <c r="H4499" s="124"/>
      <c r="I4499" s="125"/>
      <c r="J4499" s="125"/>
      <c r="K4499" s="125"/>
      <c r="L4499" s="121"/>
      <c r="M4499" s="126"/>
      <c r="N4499" s="121"/>
    </row>
    <row r="4500" spans="1:14" x14ac:dyDescent="0.25">
      <c r="A4500" s="121" t="s">
        <v>78</v>
      </c>
      <c r="B4500" s="121" t="s">
        <v>235</v>
      </c>
      <c r="C4500" s="62">
        <f>VLOOKUP(B4500,合并仓明细!$D$2:$F$74,3,0)</f>
        <v>105</v>
      </c>
      <c r="D4500" s="122" t="s">
        <v>413</v>
      </c>
      <c r="E4500" s="123" t="s">
        <v>553</v>
      </c>
      <c r="F4500" s="121" t="s">
        <v>66</v>
      </c>
      <c r="G4500" s="121">
        <v>2202.7700000000004</v>
      </c>
      <c r="H4500" s="124"/>
      <c r="I4500" s="125"/>
      <c r="J4500" s="125"/>
      <c r="K4500" s="125"/>
      <c r="L4500" s="121"/>
      <c r="M4500" s="126"/>
      <c r="N4500" s="121"/>
    </row>
    <row r="4501" spans="1:14" x14ac:dyDescent="0.25">
      <c r="A4501" s="121" t="s">
        <v>78</v>
      </c>
      <c r="B4501" s="121" t="s">
        <v>235</v>
      </c>
      <c r="C4501" s="62">
        <f>VLOOKUP(B4501,合并仓明细!$D$2:$F$74,3,0)</f>
        <v>105</v>
      </c>
      <c r="D4501" s="122" t="s">
        <v>413</v>
      </c>
      <c r="E4501" s="123" t="s">
        <v>554</v>
      </c>
      <c r="F4501" s="121" t="s">
        <v>68</v>
      </c>
      <c r="G4501" s="121">
        <v>178.8</v>
      </c>
      <c r="H4501" s="124">
        <v>36.065669999999997</v>
      </c>
      <c r="I4501" s="59">
        <f>ROUNDUP(H4501/30,0)*VLOOKUP(D4501,'报价表-配送'!$B$68:$I$72,8,0)</f>
        <v>0</v>
      </c>
      <c r="J4501" s="125"/>
      <c r="K4501" s="125"/>
      <c r="L4501" s="121"/>
      <c r="M4501" s="126"/>
      <c r="N4501" s="127">
        <f t="shared" ref="N4501" si="553">SUM(I4501:L4501)</f>
        <v>0</v>
      </c>
    </row>
    <row r="4502" spans="1:14" x14ac:dyDescent="0.25">
      <c r="A4502" s="121" t="s">
        <v>78</v>
      </c>
      <c r="B4502" s="121" t="s">
        <v>235</v>
      </c>
      <c r="C4502" s="62">
        <f>VLOOKUP(B4502,合并仓明细!$D$2:$F$74,3,0)</f>
        <v>105</v>
      </c>
      <c r="D4502" s="122" t="s">
        <v>413</v>
      </c>
      <c r="E4502" s="123" t="s">
        <v>554</v>
      </c>
      <c r="F4502" s="121" t="s">
        <v>67</v>
      </c>
      <c r="G4502" s="121">
        <v>34855.919999999998</v>
      </c>
      <c r="H4502" s="124"/>
      <c r="I4502" s="125"/>
      <c r="J4502" s="125"/>
      <c r="K4502" s="125"/>
      <c r="L4502" s="121"/>
      <c r="M4502" s="126"/>
      <c r="N4502" s="121"/>
    </row>
    <row r="4503" spans="1:14" x14ac:dyDescent="0.25">
      <c r="A4503" s="121" t="s">
        <v>78</v>
      </c>
      <c r="B4503" s="121" t="s">
        <v>235</v>
      </c>
      <c r="C4503" s="62">
        <f>VLOOKUP(B4503,合并仓明细!$D$2:$F$74,3,0)</f>
        <v>105</v>
      </c>
      <c r="D4503" s="122" t="s">
        <v>413</v>
      </c>
      <c r="E4503" s="123" t="s">
        <v>554</v>
      </c>
      <c r="F4503" s="121" t="s">
        <v>66</v>
      </c>
      <c r="G4503" s="121">
        <v>1030.9500000000005</v>
      </c>
      <c r="H4503" s="124"/>
      <c r="I4503" s="125"/>
      <c r="J4503" s="125"/>
      <c r="K4503" s="125"/>
      <c r="L4503" s="121"/>
      <c r="M4503" s="126"/>
      <c r="N4503" s="121"/>
    </row>
  </sheetData>
  <sheetProtection algorithmName="SHA-512" hashValue="i5uG+CkDeikwJ4VOSpUXtkLvmAr9lqBa1Zs0oeG2TW0mUVtsDDS6FnTKqreK3NSfZcL2sko5LQtftABO1OmRKw==" saltValue="fWljeSjS8XC6czHdvsIHOA==" spinCount="100000" sheet="1" formatCells="0" formatColumns="0" formatRows="0"/>
  <phoneticPr fontId="1" type="noConversion"/>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1"/>
  <sheetViews>
    <sheetView workbookViewId="0">
      <selection activeCell="E14" sqref="E14"/>
    </sheetView>
  </sheetViews>
  <sheetFormatPr defaultColWidth="8.6640625" defaultRowHeight="13.8" x14ac:dyDescent="0.25"/>
  <cols>
    <col min="1" max="1" width="10.109375" style="2" customWidth="1"/>
    <col min="2" max="2" width="12.44140625" style="2" customWidth="1"/>
    <col min="3" max="3" width="10.109375" style="2" customWidth="1"/>
    <col min="4" max="4" width="9.109375" style="2" customWidth="1"/>
    <col min="5" max="5" width="10.109375" style="2" customWidth="1"/>
    <col min="6" max="6" width="11.33203125" style="82" customWidth="1"/>
    <col min="7" max="7" width="13.33203125" style="2" customWidth="1"/>
    <col min="8" max="8" width="20.109375" style="82" customWidth="1"/>
    <col min="9" max="9" width="9.77734375" style="1" customWidth="1"/>
    <col min="10" max="16384" width="8.6640625" style="1"/>
  </cols>
  <sheetData>
    <row r="1" spans="1:9" ht="50.4" x14ac:dyDescent="0.25">
      <c r="A1" s="134" t="s">
        <v>488</v>
      </c>
      <c r="B1" s="134" t="s">
        <v>487</v>
      </c>
      <c r="C1" s="135" t="s">
        <v>486</v>
      </c>
      <c r="D1" s="136" t="s">
        <v>485</v>
      </c>
      <c r="E1" s="137" t="s">
        <v>484</v>
      </c>
      <c r="F1" s="136" t="s">
        <v>483</v>
      </c>
      <c r="G1" s="137" t="s">
        <v>482</v>
      </c>
      <c r="H1" s="138" t="s">
        <v>571</v>
      </c>
      <c r="I1" s="135" t="s">
        <v>481</v>
      </c>
    </row>
    <row r="2" spans="1:9" ht="16.05" customHeight="1" x14ac:dyDescent="0.25">
      <c r="A2" s="135" t="s">
        <v>423</v>
      </c>
      <c r="B2" s="135" t="s">
        <v>424</v>
      </c>
      <c r="C2" s="135" t="s">
        <v>465</v>
      </c>
      <c r="D2" s="139" t="s">
        <v>464</v>
      </c>
      <c r="E2" s="140"/>
      <c r="F2" s="141">
        <v>4311.8715400000028</v>
      </c>
      <c r="G2" s="142">
        <f t="shared" ref="G2:G14" si="0">E2*F2</f>
        <v>0</v>
      </c>
      <c r="H2" s="135" t="s">
        <v>572</v>
      </c>
      <c r="I2" s="135" t="s">
        <v>480</v>
      </c>
    </row>
    <row r="3" spans="1:9" ht="16.05" customHeight="1" x14ac:dyDescent="0.25">
      <c r="A3" s="135" t="s">
        <v>423</v>
      </c>
      <c r="B3" s="135" t="s">
        <v>426</v>
      </c>
      <c r="C3" s="135" t="s">
        <v>467</v>
      </c>
      <c r="D3" s="139" t="s">
        <v>477</v>
      </c>
      <c r="E3" s="140"/>
      <c r="F3" s="141">
        <v>4641.2539000000024</v>
      </c>
      <c r="G3" s="142">
        <f t="shared" si="0"/>
        <v>0</v>
      </c>
      <c r="H3" s="135" t="s">
        <v>572</v>
      </c>
      <c r="I3" s="135" t="s">
        <v>476</v>
      </c>
    </row>
    <row r="4" spans="1:9" ht="16.05" customHeight="1" x14ac:dyDescent="0.25">
      <c r="A4" s="135" t="s">
        <v>423</v>
      </c>
      <c r="B4" s="135" t="s">
        <v>431</v>
      </c>
      <c r="C4" s="135" t="s">
        <v>465</v>
      </c>
      <c r="D4" s="139" t="s">
        <v>473</v>
      </c>
      <c r="E4" s="140"/>
      <c r="F4" s="141">
        <v>2811.6258199999988</v>
      </c>
      <c r="G4" s="142">
        <f t="shared" si="0"/>
        <v>0</v>
      </c>
      <c r="H4" s="135" t="s">
        <v>572</v>
      </c>
      <c r="I4" s="135" t="s">
        <v>469</v>
      </c>
    </row>
    <row r="5" spans="1:9" ht="16.05" customHeight="1" x14ac:dyDescent="0.25">
      <c r="A5" s="135" t="s">
        <v>423</v>
      </c>
      <c r="B5" s="135" t="s">
        <v>475</v>
      </c>
      <c r="C5" s="135" t="s">
        <v>474</v>
      </c>
      <c r="D5" s="139" t="s">
        <v>464</v>
      </c>
      <c r="E5" s="140"/>
      <c r="F5" s="141">
        <v>1978.04006</v>
      </c>
      <c r="G5" s="142">
        <f t="shared" si="0"/>
        <v>0</v>
      </c>
      <c r="H5" s="135" t="s">
        <v>572</v>
      </c>
      <c r="I5" s="135" t="s">
        <v>425</v>
      </c>
    </row>
    <row r="6" spans="1:9" ht="16.05" customHeight="1" x14ac:dyDescent="0.25">
      <c r="A6" s="135" t="s">
        <v>423</v>
      </c>
      <c r="B6" s="135" t="s">
        <v>428</v>
      </c>
      <c r="C6" s="135" t="s">
        <v>467</v>
      </c>
      <c r="D6" s="139" t="s">
        <v>466</v>
      </c>
      <c r="E6" s="140"/>
      <c r="F6" s="141">
        <v>2651.8143800000003</v>
      </c>
      <c r="G6" s="142">
        <f t="shared" si="0"/>
        <v>0</v>
      </c>
      <c r="H6" s="135" t="s">
        <v>572</v>
      </c>
      <c r="I6" s="135" t="s">
        <v>469</v>
      </c>
    </row>
    <row r="7" spans="1:9" ht="16.05" customHeight="1" x14ac:dyDescent="0.25">
      <c r="A7" s="135" t="s">
        <v>423</v>
      </c>
      <c r="B7" s="135" t="s">
        <v>430</v>
      </c>
      <c r="C7" s="135" t="s">
        <v>468</v>
      </c>
      <c r="D7" s="139" t="s">
        <v>466</v>
      </c>
      <c r="E7" s="140"/>
      <c r="F7" s="141">
        <v>2668.2949400000011</v>
      </c>
      <c r="G7" s="142">
        <f t="shared" si="0"/>
        <v>0</v>
      </c>
      <c r="H7" s="135" t="s">
        <v>572</v>
      </c>
      <c r="I7" s="135" t="s">
        <v>471</v>
      </c>
    </row>
    <row r="8" spans="1:9" ht="16.05" customHeight="1" x14ac:dyDescent="0.25">
      <c r="A8" s="135" t="s">
        <v>432</v>
      </c>
      <c r="B8" s="135" t="s">
        <v>433</v>
      </c>
      <c r="C8" s="135" t="s">
        <v>467</v>
      </c>
      <c r="D8" s="139" t="s">
        <v>464</v>
      </c>
      <c r="E8" s="140"/>
      <c r="F8" s="141">
        <v>1857.0558599999993</v>
      </c>
      <c r="G8" s="142">
        <f t="shared" si="0"/>
        <v>0</v>
      </c>
      <c r="H8" s="135" t="s">
        <v>572</v>
      </c>
      <c r="I8" s="135" t="s">
        <v>469</v>
      </c>
    </row>
    <row r="9" spans="1:9" ht="16.05" customHeight="1" x14ac:dyDescent="0.25">
      <c r="A9" s="135" t="s">
        <v>432</v>
      </c>
      <c r="B9" s="135" t="s">
        <v>435</v>
      </c>
      <c r="C9" s="135" t="s">
        <v>467</v>
      </c>
      <c r="D9" s="139" t="s">
        <v>466</v>
      </c>
      <c r="E9" s="140"/>
      <c r="F9" s="141">
        <v>3180.4314400000012</v>
      </c>
      <c r="G9" s="142">
        <f t="shared" si="0"/>
        <v>0</v>
      </c>
      <c r="H9" s="135" t="s">
        <v>572</v>
      </c>
      <c r="I9" s="135" t="s">
        <v>425</v>
      </c>
    </row>
    <row r="10" spans="1:9" ht="16.05" customHeight="1" x14ac:dyDescent="0.25">
      <c r="A10" s="135" t="s">
        <v>432</v>
      </c>
      <c r="B10" s="135" t="s">
        <v>434</v>
      </c>
      <c r="C10" s="135" t="s">
        <v>467</v>
      </c>
      <c r="D10" s="139" t="s">
        <v>466</v>
      </c>
      <c r="E10" s="140"/>
      <c r="F10" s="141">
        <v>3976.9565800000014</v>
      </c>
      <c r="G10" s="142">
        <f t="shared" si="0"/>
        <v>0</v>
      </c>
      <c r="H10" s="135" t="s">
        <v>572</v>
      </c>
      <c r="I10" s="135" t="s">
        <v>425</v>
      </c>
    </row>
    <row r="11" spans="1:9" ht="16.05" customHeight="1" x14ac:dyDescent="0.25">
      <c r="A11" s="135" t="s">
        <v>432</v>
      </c>
      <c r="B11" s="135" t="s">
        <v>472</v>
      </c>
      <c r="C11" s="135" t="s">
        <v>465</v>
      </c>
      <c r="D11" s="139" t="s">
        <v>466</v>
      </c>
      <c r="E11" s="140"/>
      <c r="F11" s="141">
        <v>954.98586000000046</v>
      </c>
      <c r="G11" s="142">
        <f t="shared" si="0"/>
        <v>0</v>
      </c>
      <c r="H11" s="135" t="s">
        <v>572</v>
      </c>
      <c r="I11" s="135" t="s">
        <v>425</v>
      </c>
    </row>
    <row r="12" spans="1:9" ht="16.05" customHeight="1" x14ac:dyDescent="0.25">
      <c r="A12" s="135" t="s">
        <v>432</v>
      </c>
      <c r="B12" s="135" t="s">
        <v>436</v>
      </c>
      <c r="C12" s="135" t="s">
        <v>470</v>
      </c>
      <c r="D12" s="139" t="s">
        <v>464</v>
      </c>
      <c r="E12" s="140"/>
      <c r="F12" s="141">
        <v>1932.5996800000012</v>
      </c>
      <c r="G12" s="142">
        <f t="shared" si="0"/>
        <v>0</v>
      </c>
      <c r="H12" s="135" t="s">
        <v>572</v>
      </c>
      <c r="I12" s="135" t="s">
        <v>469</v>
      </c>
    </row>
    <row r="13" spans="1:9" ht="16.05" customHeight="1" x14ac:dyDescent="0.25">
      <c r="A13" s="135" t="s">
        <v>439</v>
      </c>
      <c r="B13" s="135" t="s">
        <v>440</v>
      </c>
      <c r="C13" s="135" t="s">
        <v>465</v>
      </c>
      <c r="D13" s="139" t="s">
        <v>478</v>
      </c>
      <c r="E13" s="140"/>
      <c r="F13" s="141">
        <v>1457.7344000000001</v>
      </c>
      <c r="G13" s="142">
        <f t="shared" si="0"/>
        <v>0</v>
      </c>
      <c r="H13" s="135" t="s">
        <v>572</v>
      </c>
      <c r="I13" s="135" t="s">
        <v>469</v>
      </c>
    </row>
    <row r="14" spans="1:9" ht="16.05" customHeight="1" x14ac:dyDescent="0.25">
      <c r="A14" s="135" t="s">
        <v>439</v>
      </c>
      <c r="B14" s="135" t="s">
        <v>441</v>
      </c>
      <c r="C14" s="135" t="s">
        <v>479</v>
      </c>
      <c r="D14" s="139" t="s">
        <v>478</v>
      </c>
      <c r="E14" s="140"/>
      <c r="F14" s="141">
        <v>977.28333999999961</v>
      </c>
      <c r="G14" s="142">
        <f t="shared" si="0"/>
        <v>0</v>
      </c>
      <c r="H14" s="135" t="s">
        <v>572</v>
      </c>
      <c r="I14" s="135" t="s">
        <v>469</v>
      </c>
    </row>
    <row r="15" spans="1:9" ht="16.8" x14ac:dyDescent="0.35">
      <c r="A15" s="148" t="s">
        <v>70</v>
      </c>
      <c r="B15" s="149"/>
      <c r="C15" s="149"/>
      <c r="D15" s="150"/>
      <c r="E15" s="143"/>
      <c r="F15" s="143">
        <f>SUM(F2:F14)</f>
        <v>33399.947800000009</v>
      </c>
      <c r="G15" s="141">
        <f>SUM(G2:G14)</f>
        <v>0</v>
      </c>
      <c r="H15" s="142"/>
      <c r="I15" s="144"/>
    </row>
    <row r="16" spans="1:9" ht="90" customHeight="1" x14ac:dyDescent="0.25">
      <c r="A16" s="147" t="s">
        <v>595</v>
      </c>
      <c r="B16" s="147"/>
      <c r="C16" s="147"/>
      <c r="D16" s="147"/>
      <c r="E16" s="147"/>
      <c r="F16" s="147"/>
      <c r="G16" s="147"/>
      <c r="H16" s="147"/>
      <c r="I16" s="147"/>
    </row>
    <row r="17" spans="6:6" x14ac:dyDescent="0.25">
      <c r="F17" s="83"/>
    </row>
    <row r="18" spans="6:6" x14ac:dyDescent="0.25">
      <c r="F18" s="83"/>
    </row>
    <row r="19" spans="6:6" x14ac:dyDescent="0.25">
      <c r="F19" s="83"/>
    </row>
    <row r="20" spans="6:6" x14ac:dyDescent="0.25">
      <c r="F20" s="83"/>
    </row>
    <row r="21" spans="6:6" x14ac:dyDescent="0.25">
      <c r="F21" s="83"/>
    </row>
  </sheetData>
  <sheetProtection algorithmName="SHA-512" hashValue="dx52SV6SUqDNet1/yn5AFRoxMRVQ8ISoWczcMfSAPNQMZa5jOiXT8ABwCyxdxirWvScgd7QReKP002SO913F6Q==" saltValue="J9TcDYpwRw6rH8NUQTJ9SQ==" spinCount="100000" sheet="1" objects="1" scenarios="1"/>
  <protectedRanges>
    <protectedRange sqref="E2:E14" name="区域1"/>
  </protectedRanges>
  <autoFilter ref="A1:I16" xr:uid="{00000000-0009-0000-0000-000005000000}"/>
  <mergeCells count="2">
    <mergeCell ref="A16:I16"/>
    <mergeCell ref="A15:D15"/>
  </mergeCells>
  <phoneticPr fontId="1" type="noConversion"/>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74"/>
  <sheetViews>
    <sheetView workbookViewId="0">
      <pane ySplit="2" topLeftCell="A3" activePane="bottomLeft" state="frozen"/>
      <selection pane="bottomLeft" activeCell="H9" sqref="H9"/>
    </sheetView>
  </sheetViews>
  <sheetFormatPr defaultColWidth="8.6640625" defaultRowHeight="13.8" x14ac:dyDescent="0.25"/>
  <cols>
    <col min="1" max="1" width="7.44140625" style="2" customWidth="1"/>
    <col min="2" max="3" width="8.6640625" style="2"/>
    <col min="4" max="4" width="12.21875" style="2" customWidth="1"/>
    <col min="5" max="5" width="10" style="2" customWidth="1"/>
    <col min="6" max="6" width="8.6640625" style="2"/>
    <col min="7" max="7" width="10.44140625" style="98" customWidth="1"/>
    <col min="8" max="8" width="59.6640625" style="102" customWidth="1"/>
    <col min="9" max="9" width="3.77734375" style="98" customWidth="1"/>
    <col min="10" max="10" width="4.44140625" style="98" customWidth="1"/>
    <col min="11" max="12" width="8.6640625" style="98"/>
    <col min="13" max="13" width="78.21875" style="98" bestFit="1" customWidth="1"/>
    <col min="14" max="16384" width="8.6640625" style="98"/>
  </cols>
  <sheetData>
    <row r="1" spans="1:13" ht="27" customHeight="1" x14ac:dyDescent="0.25">
      <c r="A1" s="198" t="s">
        <v>511</v>
      </c>
      <c r="B1" s="199"/>
      <c r="C1" s="199"/>
      <c r="D1" s="199"/>
      <c r="E1" s="199"/>
      <c r="F1" s="199"/>
      <c r="G1" s="199"/>
      <c r="H1" s="200"/>
      <c r="J1" s="201" t="s">
        <v>532</v>
      </c>
      <c r="K1" s="202"/>
      <c r="L1" s="202"/>
      <c r="M1" s="202"/>
    </row>
    <row r="2" spans="1:13" ht="28.8" x14ac:dyDescent="0.25">
      <c r="A2" s="112" t="s">
        <v>9</v>
      </c>
      <c r="B2" s="112" t="s">
        <v>85</v>
      </c>
      <c r="C2" s="112" t="s">
        <v>555</v>
      </c>
      <c r="D2" s="112" t="s">
        <v>556</v>
      </c>
      <c r="E2" s="128" t="s">
        <v>557</v>
      </c>
      <c r="F2" s="128" t="s">
        <v>84</v>
      </c>
      <c r="G2" s="114" t="s">
        <v>558</v>
      </c>
      <c r="H2" s="115" t="s">
        <v>559</v>
      </c>
      <c r="J2" s="112" t="s">
        <v>9</v>
      </c>
      <c r="K2" s="112" t="s">
        <v>85</v>
      </c>
      <c r="L2" s="112" t="s">
        <v>69</v>
      </c>
      <c r="M2" s="112" t="s">
        <v>516</v>
      </c>
    </row>
    <row r="3" spans="1:13" ht="14.4" x14ac:dyDescent="0.25">
      <c r="A3" s="112">
        <v>1</v>
      </c>
      <c r="B3" s="112" t="s">
        <v>242</v>
      </c>
      <c r="C3" s="112" t="s">
        <v>82</v>
      </c>
      <c r="D3" s="112" t="s">
        <v>141</v>
      </c>
      <c r="E3" s="129">
        <v>70.321809848609988</v>
      </c>
      <c r="F3" s="112">
        <v>200</v>
      </c>
      <c r="G3" s="130"/>
      <c r="H3" s="115" t="s">
        <v>186</v>
      </c>
      <c r="J3" s="112">
        <v>1</v>
      </c>
      <c r="K3" s="112" t="s">
        <v>423</v>
      </c>
      <c r="L3" s="113" t="s">
        <v>83</v>
      </c>
      <c r="M3" s="114" t="s">
        <v>517</v>
      </c>
    </row>
    <row r="4" spans="1:13" ht="14.4" x14ac:dyDescent="0.25">
      <c r="A4" s="112">
        <v>2</v>
      </c>
      <c r="B4" s="112" t="s">
        <v>242</v>
      </c>
      <c r="C4" s="112" t="s">
        <v>82</v>
      </c>
      <c r="D4" s="112" t="s">
        <v>142</v>
      </c>
      <c r="E4" s="129">
        <v>31.179952500000006</v>
      </c>
      <c r="F4" s="112">
        <v>73</v>
      </c>
      <c r="G4" s="130"/>
      <c r="H4" s="115" t="s">
        <v>182</v>
      </c>
      <c r="J4" s="112">
        <v>2</v>
      </c>
      <c r="K4" s="112" t="s">
        <v>423</v>
      </c>
      <c r="L4" s="113" t="s">
        <v>82</v>
      </c>
      <c r="M4" s="114" t="s">
        <v>518</v>
      </c>
    </row>
    <row r="5" spans="1:13" ht="14.4" x14ac:dyDescent="0.25">
      <c r="A5" s="112">
        <v>3</v>
      </c>
      <c r="B5" s="112" t="s">
        <v>242</v>
      </c>
      <c r="C5" s="112" t="s">
        <v>82</v>
      </c>
      <c r="D5" s="112" t="s">
        <v>144</v>
      </c>
      <c r="E5" s="129">
        <v>23.682019999999998</v>
      </c>
      <c r="F5" s="112">
        <v>487</v>
      </c>
      <c r="G5" s="130"/>
      <c r="H5" s="115" t="s">
        <v>188</v>
      </c>
      <c r="J5" s="112">
        <v>3</v>
      </c>
      <c r="K5" s="112" t="s">
        <v>423</v>
      </c>
      <c r="L5" s="113" t="s">
        <v>81</v>
      </c>
      <c r="M5" s="114" t="s">
        <v>519</v>
      </c>
    </row>
    <row r="6" spans="1:13" ht="14.4" x14ac:dyDescent="0.25">
      <c r="A6" s="112">
        <v>4</v>
      </c>
      <c r="B6" s="112" t="s">
        <v>242</v>
      </c>
      <c r="C6" s="112" t="s">
        <v>82</v>
      </c>
      <c r="D6" s="112" t="s">
        <v>145</v>
      </c>
      <c r="E6" s="129">
        <v>10.912259999999996</v>
      </c>
      <c r="F6" s="112">
        <v>184</v>
      </c>
      <c r="G6" s="130"/>
      <c r="H6" s="115" t="s">
        <v>184</v>
      </c>
      <c r="J6" s="112">
        <v>4</v>
      </c>
      <c r="K6" s="112" t="s">
        <v>423</v>
      </c>
      <c r="L6" s="113" t="s">
        <v>80</v>
      </c>
      <c r="M6" s="114" t="s">
        <v>520</v>
      </c>
    </row>
    <row r="7" spans="1:13" ht="14.4" x14ac:dyDescent="0.25">
      <c r="A7" s="112">
        <v>5</v>
      </c>
      <c r="B7" s="112" t="s">
        <v>242</v>
      </c>
      <c r="C7" s="112" t="s">
        <v>82</v>
      </c>
      <c r="D7" s="112" t="s">
        <v>146</v>
      </c>
      <c r="E7" s="129">
        <v>17.37011625001</v>
      </c>
      <c r="F7" s="112">
        <v>95</v>
      </c>
      <c r="G7" s="130"/>
      <c r="H7" s="115" t="s">
        <v>183</v>
      </c>
      <c r="J7" s="112">
        <v>5</v>
      </c>
      <c r="K7" s="112" t="s">
        <v>423</v>
      </c>
      <c r="L7" s="113" t="s">
        <v>79</v>
      </c>
      <c r="M7" s="114" t="s">
        <v>521</v>
      </c>
    </row>
    <row r="8" spans="1:13" ht="14.4" x14ac:dyDescent="0.25">
      <c r="A8" s="112">
        <v>6</v>
      </c>
      <c r="B8" s="112" t="s">
        <v>242</v>
      </c>
      <c r="C8" s="112" t="s">
        <v>82</v>
      </c>
      <c r="D8" s="112" t="s">
        <v>147</v>
      </c>
      <c r="E8" s="129">
        <v>82.71614000000001</v>
      </c>
      <c r="F8" s="112">
        <v>272</v>
      </c>
      <c r="G8" s="130"/>
      <c r="H8" s="115" t="s">
        <v>185</v>
      </c>
      <c r="J8" s="112">
        <v>6</v>
      </c>
      <c r="K8" s="112" t="s">
        <v>423</v>
      </c>
      <c r="L8" s="112" t="s">
        <v>99</v>
      </c>
      <c r="M8" s="115" t="s">
        <v>533</v>
      </c>
    </row>
    <row r="9" spans="1:13" ht="14.4" x14ac:dyDescent="0.25">
      <c r="A9" s="112">
        <v>7</v>
      </c>
      <c r="B9" s="112" t="s">
        <v>242</v>
      </c>
      <c r="C9" s="112" t="s">
        <v>82</v>
      </c>
      <c r="D9" s="112" t="s">
        <v>148</v>
      </c>
      <c r="E9" s="129">
        <v>17.802682800029995</v>
      </c>
      <c r="F9" s="112">
        <v>452</v>
      </c>
      <c r="G9" s="130"/>
      <c r="H9" s="115" t="s">
        <v>189</v>
      </c>
      <c r="J9" s="112">
        <v>7</v>
      </c>
      <c r="K9" s="112" t="s">
        <v>534</v>
      </c>
      <c r="L9" s="112" t="s">
        <v>535</v>
      </c>
      <c r="M9" s="115" t="s">
        <v>536</v>
      </c>
    </row>
    <row r="10" spans="1:13" ht="14.4" x14ac:dyDescent="0.25">
      <c r="A10" s="112">
        <v>8</v>
      </c>
      <c r="B10" s="112" t="s">
        <v>242</v>
      </c>
      <c r="C10" s="112" t="s">
        <v>82</v>
      </c>
      <c r="D10" s="112" t="s">
        <v>149</v>
      </c>
      <c r="E10" s="129">
        <v>17.802316057160002</v>
      </c>
      <c r="F10" s="112">
        <v>231</v>
      </c>
      <c r="G10" s="130"/>
      <c r="H10" s="115" t="s">
        <v>187</v>
      </c>
      <c r="J10" s="112">
        <v>8</v>
      </c>
      <c r="K10" s="112" t="s">
        <v>432</v>
      </c>
      <c r="L10" s="113" t="s">
        <v>78</v>
      </c>
      <c r="M10" s="114" t="s">
        <v>522</v>
      </c>
    </row>
    <row r="11" spans="1:13" ht="14.4" x14ac:dyDescent="0.25">
      <c r="A11" s="112">
        <v>9</v>
      </c>
      <c r="B11" s="112" t="s">
        <v>242</v>
      </c>
      <c r="C11" s="112" t="s">
        <v>82</v>
      </c>
      <c r="D11" s="112" t="s">
        <v>234</v>
      </c>
      <c r="E11" s="129">
        <v>51.912980000000005</v>
      </c>
      <c r="F11" s="112">
        <v>201</v>
      </c>
      <c r="G11" s="130"/>
      <c r="H11" s="115" t="s">
        <v>236</v>
      </c>
      <c r="J11" s="112">
        <v>9</v>
      </c>
      <c r="K11" s="112" t="s">
        <v>432</v>
      </c>
      <c r="L11" s="112" t="s">
        <v>241</v>
      </c>
      <c r="M11" s="115" t="s">
        <v>523</v>
      </c>
    </row>
    <row r="12" spans="1:13" ht="14.4" x14ac:dyDescent="0.25">
      <c r="A12" s="112">
        <v>10</v>
      </c>
      <c r="B12" s="112" t="s">
        <v>242</v>
      </c>
      <c r="C12" s="112" t="s">
        <v>80</v>
      </c>
      <c r="D12" s="112" t="s">
        <v>150</v>
      </c>
      <c r="E12" s="129">
        <v>18.359146800000001</v>
      </c>
      <c r="F12" s="112">
        <v>430</v>
      </c>
      <c r="G12" s="130"/>
      <c r="H12" s="115" t="s">
        <v>201</v>
      </c>
      <c r="J12" s="112">
        <v>10</v>
      </c>
      <c r="K12" s="112" t="s">
        <v>432</v>
      </c>
      <c r="L12" s="112" t="s">
        <v>105</v>
      </c>
      <c r="M12" s="115" t="s">
        <v>537</v>
      </c>
    </row>
    <row r="13" spans="1:13" ht="14.4" x14ac:dyDescent="0.25">
      <c r="A13" s="112">
        <v>11</v>
      </c>
      <c r="B13" s="112" t="s">
        <v>242</v>
      </c>
      <c r="C13" s="112" t="s">
        <v>80</v>
      </c>
      <c r="D13" s="112" t="s">
        <v>151</v>
      </c>
      <c r="E13" s="129">
        <v>13.5318599958</v>
      </c>
      <c r="F13" s="112">
        <v>216</v>
      </c>
      <c r="G13" s="130"/>
      <c r="H13" s="115" t="s">
        <v>199</v>
      </c>
      <c r="J13" s="112">
        <v>11</v>
      </c>
      <c r="K13" s="112" t="s">
        <v>432</v>
      </c>
      <c r="L13" s="112" t="s">
        <v>103</v>
      </c>
      <c r="M13" s="115" t="s">
        <v>538</v>
      </c>
    </row>
    <row r="14" spans="1:13" ht="14.4" x14ac:dyDescent="0.25">
      <c r="A14" s="112">
        <v>12</v>
      </c>
      <c r="B14" s="112" t="s">
        <v>242</v>
      </c>
      <c r="C14" s="112" t="s">
        <v>80</v>
      </c>
      <c r="D14" s="112" t="s">
        <v>152</v>
      </c>
      <c r="E14" s="129">
        <v>95.065989999999999</v>
      </c>
      <c r="F14" s="112">
        <v>114</v>
      </c>
      <c r="G14" s="130"/>
      <c r="H14" s="115" t="s">
        <v>198</v>
      </c>
      <c r="J14" s="112">
        <v>12</v>
      </c>
      <c r="K14" s="112" t="s">
        <v>524</v>
      </c>
      <c r="L14" s="112" t="s">
        <v>539</v>
      </c>
      <c r="M14" s="115" t="s">
        <v>540</v>
      </c>
    </row>
    <row r="15" spans="1:13" ht="14.4" x14ac:dyDescent="0.25">
      <c r="A15" s="112">
        <v>13</v>
      </c>
      <c r="B15" s="112" t="s">
        <v>242</v>
      </c>
      <c r="C15" s="112" t="s">
        <v>80</v>
      </c>
      <c r="D15" s="112" t="s">
        <v>153</v>
      </c>
      <c r="E15" s="129">
        <v>14.93868</v>
      </c>
      <c r="F15" s="112">
        <v>289</v>
      </c>
      <c r="G15" s="130"/>
      <c r="H15" s="115" t="s">
        <v>200</v>
      </c>
      <c r="J15" s="112">
        <v>13</v>
      </c>
      <c r="K15" s="112" t="s">
        <v>437</v>
      </c>
      <c r="L15" s="113" t="s">
        <v>77</v>
      </c>
      <c r="M15" s="114" t="s">
        <v>568</v>
      </c>
    </row>
    <row r="16" spans="1:13" ht="14.4" x14ac:dyDescent="0.25">
      <c r="A16" s="112">
        <v>14</v>
      </c>
      <c r="B16" s="112" t="s">
        <v>242</v>
      </c>
      <c r="C16" s="112" t="s">
        <v>81</v>
      </c>
      <c r="D16" s="112" t="s">
        <v>157</v>
      </c>
      <c r="E16" s="129">
        <v>48.904972432969991</v>
      </c>
      <c r="F16" s="112">
        <v>91</v>
      </c>
      <c r="G16" s="130"/>
      <c r="H16" s="115" t="s">
        <v>192</v>
      </c>
      <c r="J16" s="112">
        <v>14</v>
      </c>
      <c r="K16" s="112" t="s">
        <v>439</v>
      </c>
      <c r="L16" s="112" t="s">
        <v>125</v>
      </c>
      <c r="M16" s="115" t="s">
        <v>541</v>
      </c>
    </row>
    <row r="17" spans="1:13" ht="14.4" x14ac:dyDescent="0.25">
      <c r="A17" s="112">
        <v>15</v>
      </c>
      <c r="B17" s="112" t="s">
        <v>242</v>
      </c>
      <c r="C17" s="112" t="s">
        <v>81</v>
      </c>
      <c r="D17" s="112" t="s">
        <v>158</v>
      </c>
      <c r="E17" s="129">
        <v>26.394540186650001</v>
      </c>
      <c r="F17" s="112">
        <v>55</v>
      </c>
      <c r="G17" s="130"/>
      <c r="H17" s="115" t="s">
        <v>191</v>
      </c>
      <c r="J17" s="112">
        <v>15</v>
      </c>
      <c r="K17" s="112" t="s">
        <v>439</v>
      </c>
      <c r="L17" s="112" t="s">
        <v>111</v>
      </c>
      <c r="M17" s="115" t="s">
        <v>525</v>
      </c>
    </row>
    <row r="18" spans="1:13" ht="14.4" x14ac:dyDescent="0.25">
      <c r="A18" s="112">
        <v>16</v>
      </c>
      <c r="B18" s="112" t="s">
        <v>242</v>
      </c>
      <c r="C18" s="112" t="s">
        <v>81</v>
      </c>
      <c r="D18" s="112" t="s">
        <v>159</v>
      </c>
      <c r="E18" s="129">
        <v>177.37621678650004</v>
      </c>
      <c r="F18" s="112">
        <v>94</v>
      </c>
      <c r="G18" s="130"/>
      <c r="H18" s="115" t="s">
        <v>238</v>
      </c>
    </row>
    <row r="19" spans="1:13" ht="14.4" x14ac:dyDescent="0.25">
      <c r="A19" s="112">
        <v>17</v>
      </c>
      <c r="B19" s="112" t="s">
        <v>242</v>
      </c>
      <c r="C19" s="112" t="s">
        <v>81</v>
      </c>
      <c r="D19" s="112" t="s">
        <v>160</v>
      </c>
      <c r="E19" s="129">
        <v>40.24230703744999</v>
      </c>
      <c r="F19" s="112">
        <v>130</v>
      </c>
      <c r="G19" s="130"/>
      <c r="H19" s="115" t="s">
        <v>226</v>
      </c>
    </row>
    <row r="20" spans="1:13" ht="14.4" x14ac:dyDescent="0.25">
      <c r="A20" s="112">
        <v>18</v>
      </c>
      <c r="B20" s="112" t="s">
        <v>242</v>
      </c>
      <c r="C20" s="112" t="s">
        <v>81</v>
      </c>
      <c r="D20" s="112" t="s">
        <v>161</v>
      </c>
      <c r="E20" s="129">
        <v>57.156935713280006</v>
      </c>
      <c r="F20" s="112">
        <v>381</v>
      </c>
      <c r="G20" s="130"/>
      <c r="H20" s="115" t="s">
        <v>197</v>
      </c>
    </row>
    <row r="21" spans="1:13" ht="14.4" x14ac:dyDescent="0.25">
      <c r="A21" s="112">
        <v>19</v>
      </c>
      <c r="B21" s="112" t="s">
        <v>242</v>
      </c>
      <c r="C21" s="112" t="s">
        <v>81</v>
      </c>
      <c r="D21" s="112" t="s">
        <v>162</v>
      </c>
      <c r="E21" s="129">
        <v>44.253944635426002</v>
      </c>
      <c r="F21" s="112">
        <v>49</v>
      </c>
      <c r="G21" s="130"/>
      <c r="H21" s="115" t="s">
        <v>190</v>
      </c>
    </row>
    <row r="22" spans="1:13" ht="14.4" x14ac:dyDescent="0.25">
      <c r="A22" s="112">
        <v>20</v>
      </c>
      <c r="B22" s="112" t="s">
        <v>242</v>
      </c>
      <c r="C22" s="112" t="s">
        <v>81</v>
      </c>
      <c r="D22" s="112" t="s">
        <v>163</v>
      </c>
      <c r="E22" s="129">
        <v>301.42643627473007</v>
      </c>
      <c r="F22" s="112">
        <v>115</v>
      </c>
      <c r="G22" s="130"/>
      <c r="H22" s="115" t="s">
        <v>193</v>
      </c>
    </row>
    <row r="23" spans="1:13" ht="14.4" x14ac:dyDescent="0.25">
      <c r="A23" s="112">
        <v>21</v>
      </c>
      <c r="B23" s="112" t="s">
        <v>242</v>
      </c>
      <c r="C23" s="112" t="s">
        <v>81</v>
      </c>
      <c r="D23" s="112" t="s">
        <v>164</v>
      </c>
      <c r="E23" s="129">
        <v>38.279112656000002</v>
      </c>
      <c r="F23" s="112">
        <v>174</v>
      </c>
      <c r="G23" s="130"/>
      <c r="H23" s="115" t="s">
        <v>194</v>
      </c>
    </row>
    <row r="24" spans="1:13" ht="14.4" x14ac:dyDescent="0.25">
      <c r="A24" s="112">
        <v>22</v>
      </c>
      <c r="B24" s="112" t="s">
        <v>242</v>
      </c>
      <c r="C24" s="112" t="s">
        <v>81</v>
      </c>
      <c r="D24" s="112" t="s">
        <v>165</v>
      </c>
      <c r="E24" s="129">
        <v>8.4645499999999991</v>
      </c>
      <c r="F24" s="112">
        <v>234</v>
      </c>
      <c r="G24" s="130"/>
      <c r="H24" s="115" t="s">
        <v>196</v>
      </c>
    </row>
    <row r="25" spans="1:13" ht="14.4" x14ac:dyDescent="0.25">
      <c r="A25" s="112">
        <v>23</v>
      </c>
      <c r="B25" s="112" t="s">
        <v>242</v>
      </c>
      <c r="C25" s="112" t="s">
        <v>81</v>
      </c>
      <c r="D25" s="112" t="s">
        <v>166</v>
      </c>
      <c r="E25" s="129">
        <v>48.567640000240011</v>
      </c>
      <c r="F25" s="112">
        <v>220</v>
      </c>
      <c r="G25" s="130"/>
      <c r="H25" s="115" t="s">
        <v>195</v>
      </c>
    </row>
    <row r="26" spans="1:13" ht="14.4" x14ac:dyDescent="0.25">
      <c r="A26" s="112">
        <v>24</v>
      </c>
      <c r="B26" s="112" t="s">
        <v>242</v>
      </c>
      <c r="C26" s="112" t="s">
        <v>79</v>
      </c>
      <c r="D26" s="112" t="s">
        <v>167</v>
      </c>
      <c r="E26" s="129">
        <v>26.65110652533</v>
      </c>
      <c r="F26" s="112">
        <v>189</v>
      </c>
      <c r="G26" s="130"/>
      <c r="H26" s="115" t="s">
        <v>233</v>
      </c>
    </row>
    <row r="27" spans="1:13" ht="14.4" x14ac:dyDescent="0.25">
      <c r="A27" s="112">
        <v>25</v>
      </c>
      <c r="B27" s="112" t="s">
        <v>242</v>
      </c>
      <c r="C27" s="112" t="s">
        <v>79</v>
      </c>
      <c r="D27" s="112" t="s">
        <v>168</v>
      </c>
      <c r="E27" s="129">
        <v>160.99173013204998</v>
      </c>
      <c r="F27" s="112">
        <v>216</v>
      </c>
      <c r="G27" s="130"/>
      <c r="H27" s="115" t="s">
        <v>202</v>
      </c>
    </row>
    <row r="28" spans="1:13" ht="14.4" x14ac:dyDescent="0.25">
      <c r="A28" s="112">
        <v>26</v>
      </c>
      <c r="B28" s="112" t="s">
        <v>242</v>
      </c>
      <c r="C28" s="112" t="s">
        <v>79</v>
      </c>
      <c r="D28" s="112" t="s">
        <v>169</v>
      </c>
      <c r="E28" s="129">
        <v>6.3123933400799999</v>
      </c>
      <c r="F28" s="112">
        <v>227</v>
      </c>
      <c r="G28" s="130"/>
      <c r="H28" s="115" t="s">
        <v>227</v>
      </c>
    </row>
    <row r="29" spans="1:13" ht="14.4" x14ac:dyDescent="0.25">
      <c r="A29" s="112">
        <v>27</v>
      </c>
      <c r="B29" s="112" t="s">
        <v>242</v>
      </c>
      <c r="C29" s="112" t="s">
        <v>99</v>
      </c>
      <c r="D29" s="112" t="s">
        <v>100</v>
      </c>
      <c r="E29" s="129">
        <v>169.87481669757</v>
      </c>
      <c r="F29" s="112">
        <v>304</v>
      </c>
      <c r="G29" s="130"/>
      <c r="H29" s="131" t="s">
        <v>130</v>
      </c>
    </row>
    <row r="30" spans="1:13" ht="14.4" x14ac:dyDescent="0.25">
      <c r="A30" s="112">
        <v>28</v>
      </c>
      <c r="B30" s="112" t="s">
        <v>242</v>
      </c>
      <c r="C30" s="112" t="s">
        <v>99</v>
      </c>
      <c r="D30" s="112" t="s">
        <v>101</v>
      </c>
      <c r="E30" s="129">
        <v>1691.9058157687509</v>
      </c>
      <c r="F30" s="112">
        <v>93</v>
      </c>
      <c r="G30" s="130"/>
      <c r="H30" s="131" t="s">
        <v>208</v>
      </c>
    </row>
    <row r="31" spans="1:13" ht="14.4" x14ac:dyDescent="0.25">
      <c r="A31" s="112">
        <v>29</v>
      </c>
      <c r="B31" s="112" t="s">
        <v>242</v>
      </c>
      <c r="C31" s="112" t="s">
        <v>99</v>
      </c>
      <c r="D31" s="112" t="s">
        <v>102</v>
      </c>
      <c r="E31" s="129">
        <v>274.55566045348013</v>
      </c>
      <c r="F31" s="112">
        <v>76</v>
      </c>
      <c r="G31" s="130"/>
      <c r="H31" s="131" t="s">
        <v>207</v>
      </c>
    </row>
    <row r="32" spans="1:13" ht="14.4" x14ac:dyDescent="0.25">
      <c r="A32" s="112">
        <v>30</v>
      </c>
      <c r="B32" s="112" t="s">
        <v>242</v>
      </c>
      <c r="C32" s="112" t="s">
        <v>99</v>
      </c>
      <c r="D32" s="112" t="s">
        <v>179</v>
      </c>
      <c r="E32" s="129">
        <v>98.539749999999998</v>
      </c>
      <c r="F32" s="112">
        <v>189</v>
      </c>
      <c r="G32" s="130"/>
      <c r="H32" s="131" t="s">
        <v>231</v>
      </c>
    </row>
    <row r="33" spans="1:8" ht="14.4" x14ac:dyDescent="0.25">
      <c r="A33" s="112">
        <v>31</v>
      </c>
      <c r="B33" s="112" t="s">
        <v>242</v>
      </c>
      <c r="C33" s="112" t="s">
        <v>83</v>
      </c>
      <c r="D33" s="112" t="s">
        <v>143</v>
      </c>
      <c r="E33" s="129">
        <v>2171.0013862405995</v>
      </c>
      <c r="F33" s="112">
        <v>131</v>
      </c>
      <c r="G33" s="112"/>
      <c r="H33" s="115" t="s">
        <v>181</v>
      </c>
    </row>
    <row r="34" spans="1:8" ht="14.4" x14ac:dyDescent="0.25">
      <c r="A34" s="112">
        <v>32</v>
      </c>
      <c r="B34" s="112" t="s">
        <v>242</v>
      </c>
      <c r="C34" s="112" t="s">
        <v>83</v>
      </c>
      <c r="D34" s="112" t="s">
        <v>176</v>
      </c>
      <c r="E34" s="129">
        <v>40.17847214251001</v>
      </c>
      <c r="F34" s="112">
        <v>116</v>
      </c>
      <c r="G34" s="112"/>
      <c r="H34" s="115" t="s">
        <v>229</v>
      </c>
    </row>
    <row r="35" spans="1:8" ht="14.4" x14ac:dyDescent="0.25">
      <c r="A35" s="112">
        <v>33</v>
      </c>
      <c r="B35" s="112" t="s">
        <v>242</v>
      </c>
      <c r="C35" s="112" t="s">
        <v>83</v>
      </c>
      <c r="D35" s="112" t="s">
        <v>177</v>
      </c>
      <c r="E35" s="129">
        <v>120.43621184526999</v>
      </c>
      <c r="F35" s="112">
        <v>269</v>
      </c>
      <c r="G35" s="112"/>
      <c r="H35" s="115" t="s">
        <v>209</v>
      </c>
    </row>
    <row r="36" spans="1:8" ht="14.4" x14ac:dyDescent="0.25">
      <c r="A36" s="112">
        <v>34</v>
      </c>
      <c r="B36" s="112" t="s">
        <v>242</v>
      </c>
      <c r="C36" s="112" t="s">
        <v>83</v>
      </c>
      <c r="D36" s="112" t="s">
        <v>178</v>
      </c>
      <c r="E36" s="129">
        <v>15.083350550000002</v>
      </c>
      <c r="F36" s="112">
        <v>104</v>
      </c>
      <c r="G36" s="115"/>
      <c r="H36" s="115" t="s">
        <v>230</v>
      </c>
    </row>
    <row r="37" spans="1:8" ht="14.4" x14ac:dyDescent="0.25">
      <c r="A37" s="112">
        <v>35</v>
      </c>
      <c r="B37" s="112" t="s">
        <v>560</v>
      </c>
      <c r="C37" s="112" t="s">
        <v>78</v>
      </c>
      <c r="D37" s="112" t="s">
        <v>154</v>
      </c>
      <c r="E37" s="129">
        <v>126.43073221067002</v>
      </c>
      <c r="F37" s="112">
        <v>44</v>
      </c>
      <c r="G37" s="130"/>
      <c r="H37" s="115" t="s">
        <v>139</v>
      </c>
    </row>
    <row r="38" spans="1:8" ht="14.4" x14ac:dyDescent="0.25">
      <c r="A38" s="112">
        <v>36</v>
      </c>
      <c r="B38" s="112" t="s">
        <v>560</v>
      </c>
      <c r="C38" s="112" t="s">
        <v>78</v>
      </c>
      <c r="D38" s="112" t="s">
        <v>155</v>
      </c>
      <c r="E38" s="129">
        <v>145.11544721732</v>
      </c>
      <c r="F38" s="112">
        <v>185</v>
      </c>
      <c r="G38" s="130"/>
      <c r="H38" s="115" t="s">
        <v>133</v>
      </c>
    </row>
    <row r="39" spans="1:8" ht="14.4" x14ac:dyDescent="0.25">
      <c r="A39" s="112">
        <v>37</v>
      </c>
      <c r="B39" s="112" t="s">
        <v>560</v>
      </c>
      <c r="C39" s="112" t="s">
        <v>78</v>
      </c>
      <c r="D39" s="112" t="s">
        <v>235</v>
      </c>
      <c r="E39" s="129">
        <v>575.14589861189984</v>
      </c>
      <c r="F39" s="112">
        <v>105</v>
      </c>
      <c r="G39" s="130"/>
      <c r="H39" s="115" t="s">
        <v>232</v>
      </c>
    </row>
    <row r="40" spans="1:8" ht="14.4" x14ac:dyDescent="0.25">
      <c r="A40" s="112">
        <v>38</v>
      </c>
      <c r="B40" s="112" t="s">
        <v>561</v>
      </c>
      <c r="C40" s="112" t="s">
        <v>78</v>
      </c>
      <c r="D40" s="112" t="s">
        <v>156</v>
      </c>
      <c r="E40" s="129">
        <v>1.9E-2</v>
      </c>
      <c r="F40" s="112">
        <v>32</v>
      </c>
      <c r="G40" s="130"/>
      <c r="H40" s="115" t="s">
        <v>140</v>
      </c>
    </row>
    <row r="41" spans="1:8" ht="14.4" x14ac:dyDescent="0.25">
      <c r="A41" s="112">
        <v>39</v>
      </c>
      <c r="B41" s="112" t="s">
        <v>243</v>
      </c>
      <c r="C41" s="112" t="s">
        <v>103</v>
      </c>
      <c r="D41" s="112" t="s">
        <v>104</v>
      </c>
      <c r="E41" s="129">
        <v>263.28440538159003</v>
      </c>
      <c r="F41" s="112">
        <v>132</v>
      </c>
      <c r="G41" s="130"/>
      <c r="H41" s="115" t="s">
        <v>134</v>
      </c>
    </row>
    <row r="42" spans="1:8" ht="14.4" x14ac:dyDescent="0.25">
      <c r="A42" s="112">
        <v>40</v>
      </c>
      <c r="B42" s="112" t="s">
        <v>243</v>
      </c>
      <c r="C42" s="112" t="s">
        <v>103</v>
      </c>
      <c r="D42" s="112" t="s">
        <v>180</v>
      </c>
      <c r="E42" s="129">
        <v>323.08924306992998</v>
      </c>
      <c r="F42" s="112">
        <v>170</v>
      </c>
      <c r="G42" s="130"/>
      <c r="H42" s="115" t="s">
        <v>135</v>
      </c>
    </row>
    <row r="43" spans="1:8" ht="14.4" x14ac:dyDescent="0.25">
      <c r="A43" s="112">
        <v>41</v>
      </c>
      <c r="B43" s="99" t="s">
        <v>243</v>
      </c>
      <c r="C43" s="99" t="s">
        <v>103</v>
      </c>
      <c r="D43" s="99" t="s">
        <v>566</v>
      </c>
      <c r="E43" s="129">
        <v>50.902000000000001</v>
      </c>
      <c r="F43" s="99">
        <v>32</v>
      </c>
      <c r="G43" s="101"/>
      <c r="H43" s="100" t="s">
        <v>531</v>
      </c>
    </row>
    <row r="44" spans="1:8" ht="14.4" x14ac:dyDescent="0.25">
      <c r="A44" s="112">
        <v>42</v>
      </c>
      <c r="B44" s="112" t="s">
        <v>243</v>
      </c>
      <c r="C44" s="112" t="s">
        <v>105</v>
      </c>
      <c r="D44" s="112" t="s">
        <v>106</v>
      </c>
      <c r="E44" s="129">
        <v>175.20321006551995</v>
      </c>
      <c r="F44" s="112">
        <v>47</v>
      </c>
      <c r="G44" s="130"/>
      <c r="H44" s="131" t="s">
        <v>205</v>
      </c>
    </row>
    <row r="45" spans="1:8" ht="14.4" x14ac:dyDescent="0.25">
      <c r="A45" s="112">
        <v>43</v>
      </c>
      <c r="B45" s="112" t="s">
        <v>243</v>
      </c>
      <c r="C45" s="112" t="s">
        <v>105</v>
      </c>
      <c r="D45" s="112" t="s">
        <v>107</v>
      </c>
      <c r="E45" s="129">
        <v>43.578446141529994</v>
      </c>
      <c r="F45" s="112">
        <v>244</v>
      </c>
      <c r="G45" s="130"/>
      <c r="H45" s="131" t="s">
        <v>206</v>
      </c>
    </row>
    <row r="46" spans="1:8" ht="14.4" x14ac:dyDescent="0.25">
      <c r="A46" s="112">
        <v>44</v>
      </c>
      <c r="B46" s="112" t="s">
        <v>243</v>
      </c>
      <c r="C46" s="112" t="s">
        <v>105</v>
      </c>
      <c r="D46" s="112" t="s">
        <v>108</v>
      </c>
      <c r="E46" s="129">
        <v>156.27155172354998</v>
      </c>
      <c r="F46" s="112">
        <v>38</v>
      </c>
      <c r="G46" s="130"/>
      <c r="H46" s="131" t="s">
        <v>131</v>
      </c>
    </row>
    <row r="47" spans="1:8" ht="14.4" x14ac:dyDescent="0.25">
      <c r="A47" s="112">
        <v>45</v>
      </c>
      <c r="B47" s="112" t="s">
        <v>243</v>
      </c>
      <c r="C47" s="112" t="s">
        <v>105</v>
      </c>
      <c r="D47" s="112" t="s">
        <v>109</v>
      </c>
      <c r="E47" s="129">
        <v>438.62019420566003</v>
      </c>
      <c r="F47" s="112">
        <v>63</v>
      </c>
      <c r="G47" s="130"/>
      <c r="H47" s="131" t="s">
        <v>132</v>
      </c>
    </row>
    <row r="48" spans="1:8" ht="14.4" x14ac:dyDescent="0.25">
      <c r="A48" s="112">
        <v>46</v>
      </c>
      <c r="B48" s="112" t="s">
        <v>243</v>
      </c>
      <c r="C48" s="112" t="s">
        <v>105</v>
      </c>
      <c r="D48" s="112" t="s">
        <v>110</v>
      </c>
      <c r="E48" s="129">
        <v>40.048585876754998</v>
      </c>
      <c r="F48" s="112">
        <v>220</v>
      </c>
      <c r="G48" s="130"/>
      <c r="H48" s="131" t="s">
        <v>239</v>
      </c>
    </row>
    <row r="49" spans="1:8" ht="14.4" x14ac:dyDescent="0.25">
      <c r="A49" s="112">
        <v>47</v>
      </c>
      <c r="B49" s="112" t="s">
        <v>243</v>
      </c>
      <c r="C49" s="112" t="s">
        <v>105</v>
      </c>
      <c r="D49" s="112" t="s">
        <v>562</v>
      </c>
      <c r="E49" s="129">
        <v>2.4255284866700002</v>
      </c>
      <c r="F49" s="112">
        <v>324</v>
      </c>
      <c r="G49" s="130"/>
      <c r="H49" s="131" t="s">
        <v>563</v>
      </c>
    </row>
    <row r="50" spans="1:8" ht="14.4" x14ac:dyDescent="0.25">
      <c r="A50" s="112">
        <v>48</v>
      </c>
      <c r="B50" s="112" t="s">
        <v>243</v>
      </c>
      <c r="C50" s="112" t="s">
        <v>241</v>
      </c>
      <c r="D50" s="112" t="s">
        <v>172</v>
      </c>
      <c r="E50" s="129">
        <v>73.329360210050012</v>
      </c>
      <c r="F50" s="112">
        <v>126</v>
      </c>
      <c r="G50" s="112"/>
      <c r="H50" s="115" t="s">
        <v>137</v>
      </c>
    </row>
    <row r="51" spans="1:8" ht="14.4" x14ac:dyDescent="0.25">
      <c r="A51" s="112">
        <v>49</v>
      </c>
      <c r="B51" s="112" t="s">
        <v>243</v>
      </c>
      <c r="C51" s="112" t="s">
        <v>241</v>
      </c>
      <c r="D51" s="112" t="s">
        <v>173</v>
      </c>
      <c r="E51" s="129">
        <v>338.44731693636004</v>
      </c>
      <c r="F51" s="112">
        <v>163</v>
      </c>
      <c r="G51" s="112"/>
      <c r="H51" s="115" t="s">
        <v>138</v>
      </c>
    </row>
    <row r="52" spans="1:8" ht="14.4" x14ac:dyDescent="0.25">
      <c r="A52" s="112">
        <v>50</v>
      </c>
      <c r="B52" s="112" t="s">
        <v>243</v>
      </c>
      <c r="C52" s="112" t="s">
        <v>241</v>
      </c>
      <c r="D52" s="112" t="s">
        <v>174</v>
      </c>
      <c r="E52" s="129">
        <v>686.05960584958007</v>
      </c>
      <c r="F52" s="112">
        <v>49</v>
      </c>
      <c r="G52" s="112"/>
      <c r="H52" s="115" t="s">
        <v>228</v>
      </c>
    </row>
    <row r="53" spans="1:8" ht="14.4" x14ac:dyDescent="0.25">
      <c r="A53" s="112">
        <v>51</v>
      </c>
      <c r="B53" s="112" t="s">
        <v>243</v>
      </c>
      <c r="C53" s="112" t="s">
        <v>241</v>
      </c>
      <c r="D53" s="112" t="s">
        <v>175</v>
      </c>
      <c r="E53" s="129">
        <v>442.17275758349587</v>
      </c>
      <c r="F53" s="112">
        <v>68</v>
      </c>
      <c r="G53" s="112"/>
      <c r="H53" s="115" t="s">
        <v>240</v>
      </c>
    </row>
    <row r="54" spans="1:8" ht="14.4" x14ac:dyDescent="0.25">
      <c r="A54" s="112">
        <v>52</v>
      </c>
      <c r="B54" s="112" t="s">
        <v>244</v>
      </c>
      <c r="C54" s="112" t="s">
        <v>77</v>
      </c>
      <c r="D54" s="112" t="s">
        <v>170</v>
      </c>
      <c r="E54" s="129">
        <v>17.319898033299996</v>
      </c>
      <c r="F54" s="112">
        <v>481</v>
      </c>
      <c r="G54" s="130"/>
      <c r="H54" s="131" t="s">
        <v>204</v>
      </c>
    </row>
    <row r="55" spans="1:8" ht="14.4" x14ac:dyDescent="0.25">
      <c r="A55" s="112">
        <v>53</v>
      </c>
      <c r="B55" s="112" t="s">
        <v>244</v>
      </c>
      <c r="C55" s="112" t="s">
        <v>77</v>
      </c>
      <c r="D55" s="112" t="s">
        <v>171</v>
      </c>
      <c r="E55" s="129">
        <v>21.016608787879999</v>
      </c>
      <c r="F55" s="112">
        <v>360</v>
      </c>
      <c r="G55" s="130"/>
      <c r="H55" s="131" t="s">
        <v>203</v>
      </c>
    </row>
    <row r="56" spans="1:8" ht="14.4" x14ac:dyDescent="0.25">
      <c r="A56" s="112">
        <v>54</v>
      </c>
      <c r="B56" s="112" t="s">
        <v>245</v>
      </c>
      <c r="C56" s="112" t="s">
        <v>111</v>
      </c>
      <c r="D56" s="112" t="s">
        <v>112</v>
      </c>
      <c r="E56" s="129">
        <v>28.020595394660003</v>
      </c>
      <c r="F56" s="112">
        <v>369</v>
      </c>
      <c r="G56" s="130"/>
      <c r="H56" s="115" t="s">
        <v>210</v>
      </c>
    </row>
    <row r="57" spans="1:8" ht="14.4" x14ac:dyDescent="0.25">
      <c r="A57" s="112">
        <v>55</v>
      </c>
      <c r="B57" s="112" t="s">
        <v>245</v>
      </c>
      <c r="C57" s="112" t="s">
        <v>111</v>
      </c>
      <c r="D57" s="112" t="s">
        <v>113</v>
      </c>
      <c r="E57" s="129">
        <v>56.735654821849998</v>
      </c>
      <c r="F57" s="112">
        <v>335</v>
      </c>
      <c r="G57" s="130"/>
      <c r="H57" s="115" t="s">
        <v>211</v>
      </c>
    </row>
    <row r="58" spans="1:8" ht="14.4" x14ac:dyDescent="0.25">
      <c r="A58" s="112">
        <v>56</v>
      </c>
      <c r="B58" s="112" t="s">
        <v>245</v>
      </c>
      <c r="C58" s="112" t="s">
        <v>111</v>
      </c>
      <c r="D58" s="112" t="s">
        <v>114</v>
      </c>
      <c r="E58" s="129">
        <v>25.794002803999998</v>
      </c>
      <c r="F58" s="112">
        <v>294</v>
      </c>
      <c r="G58" s="130"/>
      <c r="H58" s="115" t="s">
        <v>237</v>
      </c>
    </row>
    <row r="59" spans="1:8" ht="14.4" x14ac:dyDescent="0.25">
      <c r="A59" s="112">
        <v>57</v>
      </c>
      <c r="B59" s="112" t="s">
        <v>245</v>
      </c>
      <c r="C59" s="112" t="s">
        <v>111</v>
      </c>
      <c r="D59" s="112" t="s">
        <v>115</v>
      </c>
      <c r="E59" s="129">
        <v>201.86442064766001</v>
      </c>
      <c r="F59" s="112">
        <v>69</v>
      </c>
      <c r="G59" s="130"/>
      <c r="H59" s="115" t="s">
        <v>212</v>
      </c>
    </row>
    <row r="60" spans="1:8" ht="14.4" x14ac:dyDescent="0.25">
      <c r="A60" s="112">
        <v>58</v>
      </c>
      <c r="B60" s="112" t="s">
        <v>245</v>
      </c>
      <c r="C60" s="112" t="s">
        <v>111</v>
      </c>
      <c r="D60" s="112" t="s">
        <v>116</v>
      </c>
      <c r="E60" s="129">
        <v>67.241635088379994</v>
      </c>
      <c r="F60" s="112">
        <v>216</v>
      </c>
      <c r="G60" s="130"/>
      <c r="H60" s="115" t="s">
        <v>213</v>
      </c>
    </row>
    <row r="61" spans="1:8" ht="14.4" x14ac:dyDescent="0.25">
      <c r="A61" s="112">
        <v>59</v>
      </c>
      <c r="B61" s="112" t="s">
        <v>245</v>
      </c>
      <c r="C61" s="112" t="s">
        <v>111</v>
      </c>
      <c r="D61" s="112" t="s">
        <v>117</v>
      </c>
      <c r="E61" s="129">
        <v>18.092943463499999</v>
      </c>
      <c r="F61" s="112">
        <v>92</v>
      </c>
      <c r="G61" s="130"/>
      <c r="H61" s="115" t="s">
        <v>136</v>
      </c>
    </row>
    <row r="62" spans="1:8" ht="14.4" x14ac:dyDescent="0.25">
      <c r="A62" s="112">
        <v>60</v>
      </c>
      <c r="B62" s="112" t="s">
        <v>245</v>
      </c>
      <c r="C62" s="112" t="s">
        <v>111</v>
      </c>
      <c r="D62" s="112" t="s">
        <v>118</v>
      </c>
      <c r="E62" s="129">
        <v>51.78832263163001</v>
      </c>
      <c r="F62" s="112">
        <v>121</v>
      </c>
      <c r="G62" s="130"/>
      <c r="H62" s="115" t="s">
        <v>214</v>
      </c>
    </row>
    <row r="63" spans="1:8" ht="14.4" x14ac:dyDescent="0.25">
      <c r="A63" s="112">
        <v>61</v>
      </c>
      <c r="B63" s="112" t="s">
        <v>245</v>
      </c>
      <c r="C63" s="112" t="s">
        <v>111</v>
      </c>
      <c r="D63" s="112" t="s">
        <v>119</v>
      </c>
      <c r="E63" s="129">
        <v>2.2097178238299997</v>
      </c>
      <c r="F63" s="112">
        <v>156</v>
      </c>
      <c r="G63" s="130"/>
      <c r="H63" s="115" t="s">
        <v>215</v>
      </c>
    </row>
    <row r="64" spans="1:8" ht="14.4" x14ac:dyDescent="0.25">
      <c r="A64" s="112">
        <v>62</v>
      </c>
      <c r="B64" s="112" t="s">
        <v>245</v>
      </c>
      <c r="C64" s="112" t="s">
        <v>111</v>
      </c>
      <c r="D64" s="112" t="s">
        <v>120</v>
      </c>
      <c r="E64" s="129">
        <v>48.534392121740012</v>
      </c>
      <c r="F64" s="112">
        <v>186</v>
      </c>
      <c r="G64" s="130"/>
      <c r="H64" s="115" t="s">
        <v>216</v>
      </c>
    </row>
    <row r="65" spans="1:8" ht="14.4" x14ac:dyDescent="0.25">
      <c r="A65" s="112">
        <v>63</v>
      </c>
      <c r="B65" s="112" t="s">
        <v>245</v>
      </c>
      <c r="C65" s="112" t="s">
        <v>111</v>
      </c>
      <c r="D65" s="112" t="s">
        <v>121</v>
      </c>
      <c r="E65" s="129">
        <v>58.609678140307615</v>
      </c>
      <c r="F65" s="112">
        <v>216</v>
      </c>
      <c r="G65" s="130"/>
      <c r="H65" s="115" t="s">
        <v>217</v>
      </c>
    </row>
    <row r="66" spans="1:8" ht="14.4" x14ac:dyDescent="0.25">
      <c r="A66" s="112">
        <v>64</v>
      </c>
      <c r="B66" s="112" t="s">
        <v>245</v>
      </c>
      <c r="C66" s="112" t="s">
        <v>111</v>
      </c>
      <c r="D66" s="112" t="s">
        <v>122</v>
      </c>
      <c r="E66" s="129">
        <v>95.366232553050011</v>
      </c>
      <c r="F66" s="112">
        <v>187</v>
      </c>
      <c r="G66" s="130"/>
      <c r="H66" s="115" t="s">
        <v>218</v>
      </c>
    </row>
    <row r="67" spans="1:8" ht="14.4" x14ac:dyDescent="0.25">
      <c r="A67" s="112">
        <v>65</v>
      </c>
      <c r="B67" s="112" t="s">
        <v>245</v>
      </c>
      <c r="C67" s="112" t="s">
        <v>111</v>
      </c>
      <c r="D67" s="112" t="s">
        <v>123</v>
      </c>
      <c r="E67" s="129">
        <v>55.377351237009989</v>
      </c>
      <c r="F67" s="112">
        <v>222</v>
      </c>
      <c r="G67" s="130"/>
      <c r="H67" s="115" t="s">
        <v>219</v>
      </c>
    </row>
    <row r="68" spans="1:8" ht="14.4" x14ac:dyDescent="0.25">
      <c r="A68" s="112">
        <v>66</v>
      </c>
      <c r="B68" s="112" t="s">
        <v>245</v>
      </c>
      <c r="C68" s="112" t="s">
        <v>111</v>
      </c>
      <c r="D68" s="112" t="s">
        <v>124</v>
      </c>
      <c r="E68" s="129">
        <v>496.2078106926599</v>
      </c>
      <c r="F68" s="112">
        <v>229</v>
      </c>
      <c r="G68" s="130"/>
      <c r="H68" s="115" t="s">
        <v>220</v>
      </c>
    </row>
    <row r="69" spans="1:8" ht="14.4" x14ac:dyDescent="0.25">
      <c r="A69" s="112">
        <v>67</v>
      </c>
      <c r="B69" s="112" t="s">
        <v>245</v>
      </c>
      <c r="C69" s="112" t="s">
        <v>111</v>
      </c>
      <c r="D69" s="112" t="s">
        <v>564</v>
      </c>
      <c r="E69" s="129">
        <v>4.7839002666299999</v>
      </c>
      <c r="F69" s="112">
        <v>101</v>
      </c>
      <c r="G69" s="130"/>
      <c r="H69" s="115" t="s">
        <v>565</v>
      </c>
    </row>
    <row r="70" spans="1:8" ht="14.4" x14ac:dyDescent="0.25">
      <c r="A70" s="112">
        <v>68</v>
      </c>
      <c r="B70" s="112" t="s">
        <v>245</v>
      </c>
      <c r="C70" s="112" t="s">
        <v>125</v>
      </c>
      <c r="D70" s="112" t="s">
        <v>126</v>
      </c>
      <c r="E70" s="129">
        <v>90.560487937200008</v>
      </c>
      <c r="F70" s="112">
        <v>107</v>
      </c>
      <c r="G70" s="130"/>
      <c r="H70" s="131" t="s">
        <v>221</v>
      </c>
    </row>
    <row r="71" spans="1:8" ht="14.4" x14ac:dyDescent="0.25">
      <c r="A71" s="112">
        <v>69</v>
      </c>
      <c r="B71" s="112" t="s">
        <v>245</v>
      </c>
      <c r="C71" s="112" t="s">
        <v>125</v>
      </c>
      <c r="D71" s="112" t="s">
        <v>127</v>
      </c>
      <c r="E71" s="129">
        <v>1.7205000000000002E-2</v>
      </c>
      <c r="F71" s="112">
        <v>141</v>
      </c>
      <c r="G71" s="130"/>
      <c r="H71" s="131" t="s">
        <v>222</v>
      </c>
    </row>
    <row r="72" spans="1:8" ht="14.4" x14ac:dyDescent="0.25">
      <c r="A72" s="112">
        <v>70</v>
      </c>
      <c r="B72" s="112" t="s">
        <v>245</v>
      </c>
      <c r="C72" s="112" t="s">
        <v>125</v>
      </c>
      <c r="D72" s="112" t="s">
        <v>128</v>
      </c>
      <c r="E72" s="129">
        <v>281.41999541780001</v>
      </c>
      <c r="F72" s="112">
        <v>49</v>
      </c>
      <c r="G72" s="130"/>
      <c r="H72" s="131" t="s">
        <v>223</v>
      </c>
    </row>
    <row r="73" spans="1:8" ht="14.4" x14ac:dyDescent="0.25">
      <c r="A73" s="112">
        <v>71</v>
      </c>
      <c r="B73" s="112" t="s">
        <v>245</v>
      </c>
      <c r="C73" s="112" t="s">
        <v>125</v>
      </c>
      <c r="D73" s="112" t="s">
        <v>129</v>
      </c>
      <c r="E73" s="129">
        <v>58.439235455320002</v>
      </c>
      <c r="F73" s="112">
        <v>68</v>
      </c>
      <c r="G73" s="130"/>
      <c r="H73" s="131" t="s">
        <v>224</v>
      </c>
    </row>
    <row r="74" spans="1:8" ht="14.4" x14ac:dyDescent="0.25">
      <c r="A74" s="112">
        <v>72</v>
      </c>
      <c r="B74" s="112" t="s">
        <v>245</v>
      </c>
      <c r="C74" s="112" t="s">
        <v>125</v>
      </c>
      <c r="D74" s="112" t="s">
        <v>125</v>
      </c>
      <c r="E74" s="129">
        <v>9.9858499107000007</v>
      </c>
      <c r="F74" s="112">
        <v>44</v>
      </c>
      <c r="G74" s="130"/>
      <c r="H74" s="131" t="s">
        <v>225</v>
      </c>
    </row>
  </sheetData>
  <mergeCells count="2">
    <mergeCell ref="A1:H1"/>
    <mergeCell ref="J1:M1"/>
  </mergeCells>
  <phoneticPr fontId="1" type="noConversion"/>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投标总价</vt:lpstr>
      <vt:lpstr>报价标-仓营</vt:lpstr>
      <vt:lpstr>配送费用汇总</vt:lpstr>
      <vt:lpstr>报价表-配送</vt:lpstr>
      <vt:lpstr>配送-测算</vt:lpstr>
      <vt:lpstr>报价表-装卸</vt:lpstr>
      <vt:lpstr>合并仓明细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2026-06-17T03:53:11Z</dcterms:modified>
</cp:coreProperties>
</file>